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/>
  <xr:revisionPtr revIDLastSave="0" documentId="8_{1A5C9458-07E2-4103-881F-8FA5854DA8E8}" xr6:coauthVersionLast="36" xr6:coauthVersionMax="36" xr10:uidLastSave="{00000000-0000-0000-0000-000000000000}"/>
  <bookViews>
    <workbookView xWindow="0" yWindow="0" windowWidth="19200" windowHeight="6495" xr2:uid="{00000000-000D-0000-FFFF-FFFF00000000}"/>
  </bookViews>
  <sheets>
    <sheet name="Regnskap 2018" sheetId="1" r:id="rId1"/>
    <sheet name="Budsjett 2019" sheetId="2" r:id="rId2"/>
  </sheets>
  <definedNames>
    <definedName name="RegnskapsårStartDato">'Regnskap 2018'!$B$4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4" i="2" l="1"/>
  <c r="O44" i="2"/>
  <c r="N44" i="2"/>
  <c r="M44" i="2"/>
  <c r="L44" i="2"/>
  <c r="K44" i="2"/>
  <c r="J44" i="2"/>
  <c r="I44" i="2"/>
  <c r="H44" i="2"/>
  <c r="G44" i="2"/>
  <c r="F44" i="2"/>
  <c r="E44" i="2"/>
  <c r="E42" i="2"/>
  <c r="E45" i="2" l="1"/>
  <c r="F42" i="2"/>
  <c r="E43" i="1"/>
  <c r="F45" i="1"/>
  <c r="G45" i="1"/>
  <c r="H45" i="1"/>
  <c r="I45" i="1"/>
  <c r="J45" i="1"/>
  <c r="K45" i="1"/>
  <c r="L45" i="1"/>
  <c r="M45" i="1"/>
  <c r="N45" i="1"/>
  <c r="O45" i="1"/>
  <c r="P45" i="1"/>
  <c r="E45" i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P46" i="1" s="1"/>
  <c r="R20" i="2"/>
  <c r="R19" i="2"/>
  <c r="R18" i="2"/>
  <c r="R17" i="2"/>
  <c r="S17" i="2" s="1"/>
  <c r="R16" i="2"/>
  <c r="S16" i="2" s="1"/>
  <c r="R15" i="2"/>
  <c r="R14" i="2"/>
  <c r="R13" i="2"/>
  <c r="R12" i="2"/>
  <c r="R11" i="2"/>
  <c r="R10" i="2"/>
  <c r="R19" i="1"/>
  <c r="R18" i="1"/>
  <c r="R17" i="1"/>
  <c r="S17" i="1" s="1"/>
  <c r="R16" i="1"/>
  <c r="S16" i="1" s="1"/>
  <c r="R15" i="1"/>
  <c r="S15" i="1" s="1"/>
  <c r="R14" i="1"/>
  <c r="S14" i="1" s="1"/>
  <c r="R12" i="1"/>
  <c r="S12" i="1" s="1"/>
  <c r="R11" i="1"/>
  <c r="S11" i="1" s="1"/>
  <c r="R10" i="1"/>
  <c r="S10" i="1" s="1"/>
  <c r="J34" i="2"/>
  <c r="P36" i="1"/>
  <c r="P29" i="1"/>
  <c r="E21" i="1"/>
  <c r="P13" i="1"/>
  <c r="R13" i="1" s="1"/>
  <c r="J34" i="1"/>
  <c r="G42" i="2" l="1"/>
  <c r="F45" i="2"/>
  <c r="E46" i="1"/>
  <c r="F46" i="1"/>
  <c r="G46" i="1" s="1"/>
  <c r="H46" i="1" s="1"/>
  <c r="I46" i="1" s="1"/>
  <c r="J46" i="1" s="1"/>
  <c r="K46" i="1" s="1"/>
  <c r="L46" i="1" s="1"/>
  <c r="M46" i="1" s="1"/>
  <c r="N46" i="1" s="1"/>
  <c r="O46" i="1" s="1"/>
  <c r="S13" i="1"/>
  <c r="P21" i="1"/>
  <c r="K20" i="1"/>
  <c r="R20" i="1" s="1"/>
  <c r="R29" i="1"/>
  <c r="R31" i="1"/>
  <c r="R31" i="2"/>
  <c r="R30" i="2"/>
  <c r="K33" i="1"/>
  <c r="H42" i="2" l="1"/>
  <c r="G45" i="2"/>
  <c r="P37" i="2"/>
  <c r="O37" i="2"/>
  <c r="N37" i="2"/>
  <c r="M37" i="2"/>
  <c r="L37" i="2"/>
  <c r="K37" i="2"/>
  <c r="G37" i="2"/>
  <c r="F37" i="2"/>
  <c r="E37" i="2"/>
  <c r="Q38" i="2" s="1"/>
  <c r="D37" i="2"/>
  <c r="E6" i="2" s="1"/>
  <c r="E22" i="2" s="1"/>
  <c r="R36" i="2"/>
  <c r="R35" i="2"/>
  <c r="R34" i="2"/>
  <c r="H37" i="2"/>
  <c r="R32" i="2"/>
  <c r="R29" i="2"/>
  <c r="R28" i="2"/>
  <c r="R27" i="2"/>
  <c r="R26" i="2"/>
  <c r="R25" i="2"/>
  <c r="P21" i="2"/>
  <c r="O21" i="2"/>
  <c r="N21" i="2"/>
  <c r="M21" i="2"/>
  <c r="L21" i="2"/>
  <c r="K21" i="2"/>
  <c r="J21" i="2"/>
  <c r="I21" i="2"/>
  <c r="H21" i="2"/>
  <c r="G21" i="2"/>
  <c r="F21" i="2"/>
  <c r="E21" i="2"/>
  <c r="E4" i="2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P3" i="2"/>
  <c r="O3" i="2"/>
  <c r="N3" i="2"/>
  <c r="M3" i="2"/>
  <c r="L3" i="2"/>
  <c r="K3" i="2"/>
  <c r="J3" i="2"/>
  <c r="I3" i="2"/>
  <c r="H3" i="2"/>
  <c r="G3" i="2"/>
  <c r="F3" i="2"/>
  <c r="E3" i="2"/>
  <c r="I33" i="1"/>
  <c r="H33" i="1"/>
  <c r="H28" i="1"/>
  <c r="P35" i="1"/>
  <c r="H45" i="2" l="1"/>
  <c r="I42" i="2"/>
  <c r="E38" i="2"/>
  <c r="F6" i="2" s="1"/>
  <c r="F22" i="2" s="1"/>
  <c r="F38" i="2" s="1"/>
  <c r="D12" i="2"/>
  <c r="S12" i="2" s="1"/>
  <c r="D15" i="2"/>
  <c r="S15" i="2" s="1"/>
  <c r="D11" i="2"/>
  <c r="S11" i="2" s="1"/>
  <c r="D14" i="2"/>
  <c r="S14" i="2" s="1"/>
  <c r="D13" i="2"/>
  <c r="S13" i="2" s="1"/>
  <c r="I37" i="2"/>
  <c r="R33" i="2"/>
  <c r="R37" i="2" s="1"/>
  <c r="J37" i="2"/>
  <c r="E3" i="1"/>
  <c r="M37" i="1"/>
  <c r="N37" i="1"/>
  <c r="O37" i="1"/>
  <c r="P37" i="1"/>
  <c r="G37" i="1"/>
  <c r="H37" i="1"/>
  <c r="I37" i="1"/>
  <c r="J37" i="1"/>
  <c r="K37" i="1"/>
  <c r="L37" i="1"/>
  <c r="F37" i="1"/>
  <c r="E37" i="1"/>
  <c r="E6" i="1"/>
  <c r="K21" i="1"/>
  <c r="L21" i="1"/>
  <c r="M21" i="1"/>
  <c r="N21" i="1"/>
  <c r="O21" i="1"/>
  <c r="J21" i="1"/>
  <c r="I21" i="1"/>
  <c r="H21" i="1"/>
  <c r="G21" i="1"/>
  <c r="F21" i="1"/>
  <c r="J42" i="2" l="1"/>
  <c r="I45" i="2"/>
  <c r="R37" i="1"/>
  <c r="R21" i="1"/>
  <c r="G6" i="2"/>
  <c r="P3" i="1"/>
  <c r="O3" i="1"/>
  <c r="N3" i="1"/>
  <c r="M3" i="1"/>
  <c r="L3" i="1"/>
  <c r="K3" i="1"/>
  <c r="J3" i="1"/>
  <c r="I3" i="1"/>
  <c r="H3" i="1"/>
  <c r="G3" i="1"/>
  <c r="F3" i="1"/>
  <c r="K42" i="2" l="1"/>
  <c r="J45" i="2"/>
  <c r="R39" i="1"/>
  <c r="G22" i="2"/>
  <c r="G38" i="2" s="1"/>
  <c r="E4" i="1"/>
  <c r="F4" i="1" s="1"/>
  <c r="L42" i="2" l="1"/>
  <c r="K45" i="2"/>
  <c r="H6" i="2"/>
  <c r="H22" i="2" s="1"/>
  <c r="H38" i="2" s="1"/>
  <c r="G4" i="1"/>
  <c r="H4" i="1" s="1"/>
  <c r="I4" i="1" s="1"/>
  <c r="J4" i="1" s="1"/>
  <c r="K4" i="1" s="1"/>
  <c r="L4" i="1" s="1"/>
  <c r="M4" i="1" s="1"/>
  <c r="N4" i="1" s="1"/>
  <c r="O4" i="1" s="1"/>
  <c r="P4" i="1" s="1"/>
  <c r="R26" i="1"/>
  <c r="R27" i="1"/>
  <c r="R28" i="1"/>
  <c r="R30" i="1"/>
  <c r="R32" i="1"/>
  <c r="R33" i="1"/>
  <c r="R34" i="1"/>
  <c r="R35" i="1"/>
  <c r="R36" i="1"/>
  <c r="R25" i="1"/>
  <c r="L45" i="2" l="1"/>
  <c r="M42" i="2"/>
  <c r="I6" i="2"/>
  <c r="I22" i="2" s="1"/>
  <c r="I38" i="2" s="1"/>
  <c r="D10" i="2"/>
  <c r="S10" i="2" s="1"/>
  <c r="E22" i="1"/>
  <c r="N42" i="2" l="1"/>
  <c r="M45" i="2"/>
  <c r="J6" i="2"/>
  <c r="J22" i="2" s="1"/>
  <c r="J38" i="2" s="1"/>
  <c r="E39" i="1"/>
  <c r="F6" i="1" s="1"/>
  <c r="F22" i="1" s="1"/>
  <c r="O42" i="2" l="1"/>
  <c r="N45" i="2"/>
  <c r="K6" i="2"/>
  <c r="K22" i="2" s="1"/>
  <c r="F39" i="1"/>
  <c r="G6" i="1" s="1"/>
  <c r="G22" i="1" s="1"/>
  <c r="G39" i="1" s="1"/>
  <c r="H6" i="1" s="1"/>
  <c r="H22" i="1" s="1"/>
  <c r="H39" i="1" s="1"/>
  <c r="I6" i="1" s="1"/>
  <c r="I22" i="1" s="1"/>
  <c r="R21" i="2"/>
  <c r="P42" i="2" l="1"/>
  <c r="P45" i="2" s="1"/>
  <c r="O45" i="2"/>
  <c r="K38" i="2"/>
  <c r="L6" i="2" s="1"/>
  <c r="L22" i="2" s="1"/>
  <c r="I39" i="1"/>
  <c r="J6" i="1" s="1"/>
  <c r="J22" i="1" s="1"/>
  <c r="L38" i="2" l="1"/>
  <c r="M6" i="2" s="1"/>
  <c r="M22" i="2" s="1"/>
  <c r="J39" i="1"/>
  <c r="K6" i="1" s="1"/>
  <c r="K22" i="1" s="1"/>
  <c r="M38" i="2" l="1"/>
  <c r="N6" i="2" s="1"/>
  <c r="N22" i="2" s="1"/>
  <c r="N38" i="2" s="1"/>
  <c r="O6" i="2" s="1"/>
  <c r="O22" i="2" s="1"/>
  <c r="O38" i="2" s="1"/>
  <c r="P6" i="2" s="1"/>
  <c r="K39" i="1"/>
  <c r="L6" i="1" s="1"/>
  <c r="L22" i="1" s="1"/>
  <c r="P22" i="2" l="1"/>
  <c r="P38" i="2" s="1"/>
  <c r="R22" i="2"/>
  <c r="R38" i="2" s="1"/>
  <c r="L39" i="1"/>
  <c r="M6" i="1" s="1"/>
  <c r="M22" i="1" s="1"/>
  <c r="M39" i="1" l="1"/>
  <c r="N6" i="1" s="1"/>
  <c r="N22" i="1" s="1"/>
  <c r="N39" i="1" l="1"/>
  <c r="O6" i="1" s="1"/>
  <c r="O22" i="1" s="1"/>
  <c r="O39" i="1" l="1"/>
  <c r="P6" i="1" s="1"/>
  <c r="P22" i="1" l="1"/>
  <c r="P39" i="1" s="1"/>
</calcChain>
</file>

<file path=xl/sharedStrings.xml><?xml version="1.0" encoding="utf-8"?>
<sst xmlns="http://schemas.openxmlformats.org/spreadsheetml/2006/main" count="88" uniqueCount="62">
  <si>
    <t>Diverse</t>
  </si>
  <si>
    <t>Totalt</t>
  </si>
  <si>
    <t>Kontantinnbetalinger</t>
  </si>
  <si>
    <t>Kontantutbetalinger</t>
  </si>
  <si>
    <t>Artikkel-EST</t>
  </si>
  <si>
    <t>28B - Myklebust</t>
  </si>
  <si>
    <t>22A - Kronhof-Kotylak</t>
  </si>
  <si>
    <t>22B - Hårstad</t>
  </si>
  <si>
    <t>24B - Aandal/Knutsen</t>
  </si>
  <si>
    <t>24A - Kruczynska</t>
  </si>
  <si>
    <t>Istad - Kabel og internett</t>
  </si>
  <si>
    <t>Gjensidige - Forsikring, bolig/garasje/fellesanlegg</t>
  </si>
  <si>
    <t>Sparebanken Møre, renter/gebyr/provsjon</t>
  </si>
  <si>
    <t>Strøm - egenandel etter forbruk i egen garasje.</t>
  </si>
  <si>
    <t>Gjenstad - div. maling m.m.</t>
  </si>
  <si>
    <t>Mygg-fanger m/gassflaske</t>
  </si>
  <si>
    <t>28A - Sadauskiene/Sadauskas (Hågan tom mars)</t>
  </si>
  <si>
    <t>26B - Westad (Oma, tom. Feb.)</t>
  </si>
  <si>
    <t>Kontingent</t>
  </si>
  <si>
    <t>Tak; Vask/impregnering + skifte av takstein</t>
  </si>
  <si>
    <t>Sparing - plasseringskonto 3910.53.49843</t>
  </si>
  <si>
    <t>avvik pr. 1.1.19</t>
  </si>
  <si>
    <t xml:space="preserve">Brøyting - Nedrebø </t>
  </si>
  <si>
    <t>Snøfres, plenklipper, div. verktøy m/tilbehør</t>
  </si>
  <si>
    <t>Maling/vedlikeholdsutstyr</t>
  </si>
  <si>
    <t>Brøyting, Nedrebø</t>
  </si>
  <si>
    <t>avvik pr. 1.1.18</t>
  </si>
  <si>
    <t>Istad, fellesstrøm, garasje - egenandel etter bruk pr. enhet</t>
  </si>
  <si>
    <t>Regnskap 2018</t>
  </si>
  <si>
    <t>Strøm - innbetalt egenandel, garasje-strøm</t>
  </si>
  <si>
    <r>
      <t xml:space="preserve">Saldo </t>
    </r>
    <r>
      <rPr>
        <sz val="11"/>
        <color theme="0" tint="-0.34998626667073579"/>
        <rFont val="Franklin Gothic Medium"/>
        <family val="2"/>
        <scheme val="major"/>
      </rPr>
      <t>(månedsslutt)</t>
    </r>
  </si>
  <si>
    <t>Totale innbetalinger, pr. mnd./2018</t>
  </si>
  <si>
    <t>Totale utbetalinger, pr. mnd./2018</t>
  </si>
  <si>
    <t>Totale utbetalinger, pr. mnd./2019</t>
  </si>
  <si>
    <t>Innbetaling til garasjeport 22A-24B/Byggmester Ove Fiske</t>
  </si>
  <si>
    <t>Snøfres/strøsand, plenklipper, div. verktøy m/tilbehør?</t>
  </si>
  <si>
    <t>Totale innbetalinger, pr. mnd./2019</t>
  </si>
  <si>
    <r>
      <t xml:space="preserve">Saldo </t>
    </r>
    <r>
      <rPr>
        <sz val="11"/>
        <color theme="0" tint="-0.249977111117893"/>
        <rFont val="Franklin Gothic Medium"/>
        <family val="2"/>
        <scheme val="major"/>
      </rPr>
      <t>(start på mnd.)</t>
    </r>
  </si>
  <si>
    <t xml:space="preserve"> </t>
  </si>
  <si>
    <t>Istad Fiber - Kabel og internett</t>
  </si>
  <si>
    <t>egenbetaling, garasjer 22AB-24AB</t>
  </si>
  <si>
    <t>avvik pr. 31.12.18</t>
  </si>
  <si>
    <t>Diverse (brøytestikker og utelampe i søppelbod + lyspærer fellesområde)</t>
  </si>
  <si>
    <t>avvik pr. 31.12.19</t>
  </si>
  <si>
    <t>???</t>
  </si>
  <si>
    <r>
      <rPr>
        <b/>
        <i/>
        <sz val="10"/>
        <color rgb="FFC00000"/>
        <rFont val="Franklin Gothic Medium"/>
        <family val="2"/>
        <scheme val="minor"/>
      </rPr>
      <t>?</t>
    </r>
    <r>
      <rPr>
        <i/>
        <sz val="10"/>
        <color rgb="FFC00000"/>
        <rFont val="Franklin Gothic Medium"/>
        <family val="2"/>
        <scheme val="minor"/>
      </rPr>
      <t xml:space="preserve"> Verandarekkverk, 1 etg. begge hus (tilbud innhentes)</t>
    </r>
  </si>
  <si>
    <t>justeres etter forbruk og strømpriser</t>
  </si>
  <si>
    <t>Budsjett 2019</t>
  </si>
  <si>
    <t>26A - Nygaard/Gudmundset</t>
  </si>
  <si>
    <r>
      <t xml:space="preserve">sparekonto er </t>
    </r>
    <r>
      <rPr>
        <u/>
        <sz val="8"/>
        <color rgb="FF00B0F0"/>
        <rFont val="Franklin Gothic Medium"/>
        <family val="2"/>
        <scheme val="minor"/>
      </rPr>
      <t>redusert</t>
    </r>
    <r>
      <rPr>
        <sz val="8"/>
        <color rgb="FF00B0F0"/>
        <rFont val="Franklin Gothic Medium"/>
        <family val="2"/>
        <scheme val="minor"/>
      </rPr>
      <t xml:space="preserve"> med kr. 6975,-</t>
    </r>
  </si>
  <si>
    <t>Kr. 16 er kreditrenter for 2018.</t>
  </si>
  <si>
    <t xml:space="preserve">Innskudd/uttak - Sparekonto </t>
  </si>
  <si>
    <t>Rådyrvegen Terrasse - 3980 31 29871 - FORENINGSKONTO</t>
  </si>
  <si>
    <t>Rådyrvegen Terrasse - 3910 53 49843 - PLASSERINGSKONTO</t>
  </si>
  <si>
    <t>Totale inn-/utbetalinger, pr. mnd./2018</t>
  </si>
  <si>
    <t>Overføring til/fra plasseringskonto 3910.53.49843</t>
  </si>
  <si>
    <r>
      <rPr>
        <b/>
        <sz val="10"/>
        <color theme="1" tint="0.14996795556505021"/>
        <rFont val="Franklin Gothic Medium"/>
        <family val="2"/>
        <scheme val="minor"/>
      </rPr>
      <t>Regnskapet er nettoført</t>
    </r>
    <r>
      <rPr>
        <sz val="10"/>
        <color theme="1" tint="0.14996795556505021"/>
        <rFont val="Franklin Gothic Medium"/>
        <family val="2"/>
        <scheme val="minor"/>
      </rPr>
      <t xml:space="preserve">, slik at den reelle kostnaden pr. enhet/leverandør kommer frem. Eksempelvis er kreditnotaer/innbetalinger (feks. </t>
    </r>
    <r>
      <rPr>
        <sz val="10"/>
        <color theme="6" tint="0.39997558519241921"/>
        <rFont val="Franklin Gothic Medium"/>
        <family val="2"/>
        <scheme val="minor"/>
      </rPr>
      <t>utbytte fra Gjensidige (=2918-4630)</t>
    </r>
    <r>
      <rPr>
        <sz val="10"/>
        <color theme="1" tint="0.14996795556505021"/>
        <rFont val="Franklin Gothic Medium"/>
        <family val="2"/>
        <scheme val="minor"/>
      </rPr>
      <t xml:space="preserve">) lagt inn som negativt tall på "utbetalinger" - og reduserer totalkostnaden. Tilsvarende er gjort med innsamling av penger/felles innkjøp og transaksjoner til/fra sparekonto. </t>
    </r>
    <r>
      <rPr>
        <sz val="10"/>
        <color rgb="FF7030A0"/>
        <rFont val="Franklin Gothic Medium"/>
        <family val="2"/>
        <scheme val="minor"/>
      </rPr>
      <t>OBS; faktura fra Istad Fiber på kr.  på 69610,- gjelder 2017.</t>
    </r>
    <r>
      <rPr>
        <sz val="10"/>
        <color theme="1" tint="0.14996795556505021"/>
        <rFont val="Franklin Gothic Medium"/>
        <family val="2"/>
        <scheme val="minor"/>
      </rPr>
      <t xml:space="preserve"> "</t>
    </r>
    <r>
      <rPr>
        <b/>
        <u/>
        <sz val="10"/>
        <color theme="1" tint="0.14996795556505021"/>
        <rFont val="Franklin Gothic Medium"/>
        <family val="2"/>
        <scheme val="minor"/>
      </rPr>
      <t>Felleskostnadene" ble økt med kr. 200,-/mnd. fom juli - og hver leilighet skulle betale kr. 28800,- i 2018.</t>
    </r>
    <r>
      <rPr>
        <b/>
        <sz val="10"/>
        <color theme="1" tint="0.14996795556505021"/>
        <rFont val="Franklin Gothic Medium"/>
        <family val="2"/>
        <scheme val="minor"/>
      </rPr>
      <t xml:space="preserve"> </t>
    </r>
    <r>
      <rPr>
        <sz val="10"/>
        <color theme="1" tint="0.14996795556505021"/>
        <rFont val="Franklin Gothic Medium"/>
        <family val="2"/>
        <scheme val="minor"/>
      </rPr>
      <t>Evt. avvik overføres til neste år.</t>
    </r>
    <r>
      <rPr>
        <sz val="10"/>
        <color theme="1" tint="0.14996795556505021"/>
        <rFont val="Franklin Gothic Medium"/>
        <family val="2"/>
        <scheme val="minor"/>
      </rPr>
      <t xml:space="preserve"> Det samme gjelder privat strømforbruk i garasjeanlegg - som avregnes og belastes den enkelte enhet i 2019.</t>
    </r>
    <r>
      <rPr>
        <b/>
        <sz val="10"/>
        <color theme="1" tint="0.14996795556505021"/>
        <rFont val="Franklin Gothic Medium"/>
        <family val="2"/>
        <scheme val="minor"/>
      </rPr>
      <t xml:space="preserve"> </t>
    </r>
    <r>
      <rPr>
        <sz val="10"/>
        <color theme="1" tint="0.14996795556505021"/>
        <rFont val="Franklin Gothic Medium"/>
        <family val="2"/>
        <scheme val="minor"/>
      </rPr>
      <t xml:space="preserve">Saldo på foreningskonto pr. 31.12.18 er kr. 19690,-, </t>
    </r>
    <r>
      <rPr>
        <sz val="10"/>
        <color rgb="FFFF0000"/>
        <rFont val="Franklin Gothic Medium"/>
        <family val="2"/>
        <scheme val="minor"/>
      </rPr>
      <t>42938,-</t>
    </r>
    <r>
      <rPr>
        <sz val="10"/>
        <color theme="1" tint="0.14996795556505021"/>
        <rFont val="Franklin Gothic Medium"/>
        <family val="2"/>
        <scheme val="minor"/>
      </rPr>
      <t xml:space="preserve"> lavere enn pr. 1.1.18. Inkludert i dette er også en reduksjon av sparekonto med kr. </t>
    </r>
    <r>
      <rPr>
        <sz val="10"/>
        <color rgb="FF00B0F0"/>
        <rFont val="Franklin Gothic Medium"/>
        <family val="2"/>
        <scheme val="minor"/>
      </rPr>
      <t>6975,-. Se også nederste tabell, for egen oversikt over spare-/plasseringskonto 3910.53.49843 - der det pr. 31.12.18 var en saldo på kr. 16,-.</t>
    </r>
    <r>
      <rPr>
        <sz val="10"/>
        <color theme="1" tint="0.14996795556505021"/>
        <rFont val="Franklin Gothic Medium"/>
        <family val="2"/>
        <scheme val="minor"/>
      </rPr>
      <t xml:space="preserve"> </t>
    </r>
  </si>
  <si>
    <t>SPARING inkl. 1%rente….</t>
  </si>
  <si>
    <t>til spare-/plasseringskonto</t>
  </si>
  <si>
    <r>
      <t>Felleskostnaden skal ihht. styrevedtak fra 2017 økes fra 2500,- til 2700,-/mnd. fom juli - og hver leilighet skal betale kr. 31200,- i felleskostnader i 2019. Det forventes ca. 5000,- i utbytte fra Gjensidige Forsikring i juni (3000-5000=</t>
    </r>
    <r>
      <rPr>
        <sz val="10"/>
        <color theme="6" tint="0.39997558519241921"/>
        <rFont val="Franklin Gothic Medium"/>
        <family val="2"/>
        <scheme val="minor"/>
      </rPr>
      <t>-2000</t>
    </r>
    <r>
      <rPr>
        <sz val="10"/>
        <rFont val="Franklin Gothic Medium"/>
        <family val="2"/>
        <scheme val="minor"/>
      </rPr>
      <t xml:space="preserve">), samt </t>
    </r>
    <r>
      <rPr>
        <sz val="10"/>
        <color rgb="FF7030A0"/>
        <rFont val="Franklin Gothic Medium"/>
        <family val="2"/>
        <scheme val="minor"/>
      </rPr>
      <t>ca. 6000,-</t>
    </r>
    <r>
      <rPr>
        <sz val="10"/>
        <rFont val="Franklin Gothic Medium"/>
        <family val="2"/>
        <scheme val="minor"/>
      </rPr>
      <t xml:space="preserve"> i privat forbruk av strøm på garasjeanlegg/el-bil. Dersom dette budsjettet innfris, vil vi ha ca. 94500,- på kontoene (</t>
    </r>
    <r>
      <rPr>
        <b/>
        <sz val="10"/>
        <color theme="9" tint="0.39997558519241921"/>
        <rFont val="Franklin Gothic Medium"/>
        <family val="2"/>
        <scheme val="minor"/>
      </rPr>
      <t>19690,-</t>
    </r>
    <r>
      <rPr>
        <sz val="10"/>
        <rFont val="Franklin Gothic Medium"/>
        <family val="2"/>
        <scheme val="minor"/>
      </rPr>
      <t xml:space="preserve"> på foreningskontoen og 75091,- på sparekontoen) ved årets slutt - og et netto driftsresultat (=sparing) på ca </t>
    </r>
    <r>
      <rPr>
        <b/>
        <sz val="10"/>
        <color rgb="FF00B050"/>
        <rFont val="Franklin Gothic Medium"/>
        <family val="2"/>
        <scheme val="minor"/>
      </rPr>
      <t>75.000,-</t>
    </r>
    <r>
      <rPr>
        <sz val="10"/>
        <rFont val="Franklin Gothic Medium"/>
        <family val="2"/>
        <scheme val="minor"/>
      </rPr>
      <t>.</t>
    </r>
  </si>
  <si>
    <r>
      <t xml:space="preserve">PLASSERINGSKONTO - Saldo </t>
    </r>
    <r>
      <rPr>
        <sz val="11"/>
        <color theme="0" tint="-0.34998626667073579"/>
        <rFont val="Franklin Gothic Medium"/>
        <family val="2"/>
        <scheme val="major"/>
      </rPr>
      <t>(månedsslutt)</t>
    </r>
  </si>
  <si>
    <r>
      <t xml:space="preserve">FORENINGSKONTO - Saldo </t>
    </r>
    <r>
      <rPr>
        <sz val="11"/>
        <color theme="0" tint="-0.34998626667073579"/>
        <rFont val="Franklin Gothic Medium"/>
        <family val="2"/>
        <scheme val="major"/>
      </rPr>
      <t>(månedsslutt)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</si>
</sst>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m"/>
    <numFmt numFmtId="165" formatCode="dd"/>
    <numFmt numFmtId="166" formatCode="0_);\-0_)"/>
  </numFmts>
  <fonts count="53" x14ac:knownFonts="1">
    <font>
      <sz val="10"/>
      <color theme="1" tint="0.14996795556505021"/>
      <name val="Franklin Gothic Medium"/>
      <family val="2"/>
      <scheme val="minor"/>
    </font>
    <font>
      <b/>
      <sz val="11"/>
      <color theme="4" tint="-0.249977111117893"/>
      <name val="Franklin Gothic Medium"/>
      <family val="2"/>
      <scheme val="minor"/>
    </font>
    <font>
      <sz val="10"/>
      <color theme="1" tint="0.14999847407452621"/>
      <name val="Franklin Gothic Medium"/>
      <family val="2"/>
      <scheme val="minor"/>
    </font>
    <font>
      <sz val="9"/>
      <color theme="1" tint="0.14999847407452621"/>
      <name val="Franklin Gothic Medium"/>
      <family val="2"/>
      <scheme val="minor"/>
    </font>
    <font>
      <b/>
      <sz val="12"/>
      <color theme="1" tint="0.14999847407452621"/>
      <name val="Franklin Gothic Medium"/>
      <family val="2"/>
      <scheme val="minor"/>
    </font>
    <font>
      <b/>
      <sz val="28"/>
      <color theme="4"/>
      <name val="Franklin Gothic Medium"/>
      <family val="2"/>
      <scheme val="major"/>
    </font>
    <font>
      <b/>
      <sz val="12"/>
      <color theme="1" tint="0.14999847407452621"/>
      <name val="Franklin Gothic Medium"/>
      <family val="2"/>
      <scheme val="major"/>
    </font>
    <font>
      <sz val="18"/>
      <color theme="1" tint="0.14996795556505021"/>
      <name val="Franklin Gothic Medium"/>
      <family val="2"/>
      <scheme val="major"/>
    </font>
    <font>
      <sz val="11"/>
      <color theme="1" tint="0.14975432599871821"/>
      <name val="Franklin Gothic Medium"/>
      <family val="2"/>
      <scheme val="major"/>
    </font>
    <font>
      <sz val="12"/>
      <color theme="3"/>
      <name val="Franklin Gothic Medium"/>
      <family val="2"/>
      <scheme val="major"/>
    </font>
    <font>
      <sz val="11"/>
      <color theme="1" tint="0.14993743705557422"/>
      <name val="Franklin Gothic Medium"/>
      <family val="2"/>
      <scheme val="major"/>
    </font>
    <font>
      <sz val="14"/>
      <color theme="1" tint="0.14975432599871821"/>
      <name val="Franklin Gothic Medium"/>
      <family val="2"/>
      <scheme val="major"/>
    </font>
    <font>
      <sz val="10"/>
      <color theme="1" tint="0.499984740745262"/>
      <name val="Franklin Gothic Medium"/>
      <family val="2"/>
      <scheme val="minor"/>
    </font>
    <font>
      <sz val="10"/>
      <color theme="1" tint="0.14993743705557422"/>
      <name val="Franklin Gothic Medium"/>
      <family val="2"/>
      <scheme val="minor"/>
    </font>
    <font>
      <b/>
      <i/>
      <strike/>
      <condense/>
      <extend/>
      <outline/>
      <shadow/>
      <sz val="10"/>
      <color theme="1" tint="0.14996795556505021"/>
      <name val="Franklin Gothic Medium"/>
      <family val="2"/>
      <scheme val="minor"/>
    </font>
    <font>
      <outline/>
      <shadow/>
      <sz val="10"/>
      <color theme="1" tint="0.14993743705557422"/>
      <name val="Franklin Gothic Medium"/>
      <family val="2"/>
      <scheme val="minor"/>
    </font>
    <font>
      <sz val="10"/>
      <color rgb="FFC00000"/>
      <name val="Franklin Gothic Medium"/>
      <family val="2"/>
      <scheme val="minor"/>
    </font>
    <font>
      <sz val="10"/>
      <color theme="6" tint="-0.249977111117893"/>
      <name val="Franklin Gothic Medium"/>
      <family val="2"/>
      <scheme val="minor"/>
    </font>
    <font>
      <sz val="9"/>
      <color rgb="FFC00000"/>
      <name val="Franklin Gothic Medium"/>
      <family val="2"/>
      <scheme val="minor"/>
    </font>
    <font>
      <sz val="9"/>
      <color theme="6" tint="-0.249977111117893"/>
      <name val="Franklin Gothic Medium"/>
      <family val="2"/>
      <scheme val="minor"/>
    </font>
    <font>
      <b/>
      <i/>
      <strike/>
      <condense/>
      <extend/>
      <outline/>
      <shadow/>
      <sz val="10"/>
      <color theme="1" tint="0.14996795556505021"/>
      <name val="Franklin Gothic Medium"/>
      <scheme val="minor"/>
    </font>
    <font>
      <sz val="10"/>
      <color theme="1" tint="0.14996795556505021"/>
      <name val="Franklin Gothic Medium"/>
      <scheme val="minor"/>
    </font>
    <font>
      <sz val="11"/>
      <color theme="0" tint="-0.34998626667073579"/>
      <name val="Franklin Gothic Medium"/>
      <family val="2"/>
      <scheme val="major"/>
    </font>
    <font>
      <sz val="11"/>
      <color theme="0" tint="-0.249977111117893"/>
      <name val="Franklin Gothic Medium"/>
      <family val="2"/>
      <scheme val="major"/>
    </font>
    <font>
      <sz val="10"/>
      <color theme="6"/>
      <name val="Franklin Gothic Medium"/>
      <family val="2"/>
      <scheme val="minor"/>
    </font>
    <font>
      <sz val="9"/>
      <color theme="6"/>
      <name val="Franklin Gothic Medium"/>
      <family val="2"/>
      <scheme val="minor"/>
    </font>
    <font>
      <sz val="10"/>
      <color rgb="FF00B050"/>
      <name val="Franklin Gothic Medium"/>
      <family val="2"/>
      <scheme val="minor"/>
    </font>
    <font>
      <b/>
      <i/>
      <strike/>
      <condense/>
      <extend/>
      <outline/>
      <shadow/>
      <sz val="10"/>
      <color rgb="FF00B050"/>
      <name val="Franklin Gothic Medium"/>
      <family val="2"/>
      <scheme val="minor"/>
    </font>
    <font>
      <sz val="10"/>
      <color rgb="FFFF0000"/>
      <name val="Franklin Gothic Medium"/>
      <family val="2"/>
      <scheme val="minor"/>
    </font>
    <font>
      <sz val="10"/>
      <name val="Franklin Gothic Medium"/>
      <family val="2"/>
      <scheme val="minor"/>
    </font>
    <font>
      <sz val="10"/>
      <color theme="6" tint="0.39997558519241921"/>
      <name val="Franklin Gothic Medium"/>
      <family val="2"/>
      <scheme val="minor"/>
    </font>
    <font>
      <b/>
      <sz val="10"/>
      <color theme="6" tint="0.39997558519241921"/>
      <name val="Franklin Gothic Medium"/>
      <family val="2"/>
      <scheme val="minor"/>
    </font>
    <font>
      <b/>
      <sz val="10"/>
      <color theme="7"/>
      <name val="Franklin Gothic Medium"/>
      <family val="2"/>
      <scheme val="minor"/>
    </font>
    <font>
      <i/>
      <sz val="10"/>
      <color theme="1" tint="0.14996795556505021"/>
      <name val="Franklin Gothic Medium"/>
      <family val="2"/>
      <scheme val="minor"/>
    </font>
    <font>
      <b/>
      <i/>
      <sz val="10"/>
      <color theme="1" tint="0.14996795556505021"/>
      <name val="Franklin Gothic Medium"/>
      <family val="2"/>
      <scheme val="minor"/>
    </font>
    <font>
      <b/>
      <sz val="10"/>
      <color theme="1" tint="0.14996795556505021"/>
      <name val="Franklin Gothic Medium"/>
      <family val="2"/>
      <scheme val="minor"/>
    </font>
    <font>
      <sz val="8"/>
      <color rgb="FFC00000"/>
      <name val="Franklin Gothic Medium"/>
      <family val="2"/>
      <scheme val="minor"/>
    </font>
    <font>
      <sz val="8"/>
      <color theme="1" tint="0.14996795556505021"/>
      <name val="Franklin Gothic Medium"/>
      <family val="2"/>
      <scheme val="minor"/>
    </font>
    <font>
      <sz val="8"/>
      <color theme="0" tint="-0.34998626667073579"/>
      <name val="Franklin Gothic Medium"/>
      <family val="2"/>
      <scheme val="minor"/>
    </font>
    <font>
      <b/>
      <u/>
      <sz val="10"/>
      <color theme="1" tint="0.14996795556505021"/>
      <name val="Franklin Gothic Medium"/>
      <family val="2"/>
      <scheme val="minor"/>
    </font>
    <font>
      <b/>
      <sz val="12"/>
      <color rgb="FFC00000"/>
      <name val="Franklin Gothic Medium"/>
      <family val="2"/>
      <scheme val="minor"/>
    </font>
    <font>
      <sz val="10"/>
      <color rgb="FF00B0F0"/>
      <name val="Franklin Gothic Medium"/>
      <family val="2"/>
      <scheme val="minor"/>
    </font>
    <font>
      <sz val="10"/>
      <color theme="8" tint="-0.249977111117893"/>
      <name val="Franklin Gothic Medium"/>
      <family val="2"/>
      <scheme val="minor"/>
    </font>
    <font>
      <i/>
      <sz val="10"/>
      <color rgb="FFC00000"/>
      <name val="Franklin Gothic Medium"/>
      <family val="2"/>
      <scheme val="minor"/>
    </font>
    <font>
      <b/>
      <i/>
      <sz val="10"/>
      <color rgb="FFC00000"/>
      <name val="Franklin Gothic Medium"/>
      <family val="2"/>
      <scheme val="minor"/>
    </font>
    <font>
      <sz val="10"/>
      <color rgb="FF7030A0"/>
      <name val="Franklin Gothic Medium"/>
      <family val="2"/>
      <scheme val="minor"/>
    </font>
    <font>
      <b/>
      <sz val="10"/>
      <color rgb="FF00B050"/>
      <name val="Franklin Gothic Medium"/>
      <family val="2"/>
      <scheme val="minor"/>
    </font>
    <font>
      <sz val="8"/>
      <color rgb="FF00B0F0"/>
      <name val="Franklin Gothic Medium"/>
      <family val="2"/>
      <scheme val="minor"/>
    </font>
    <font>
      <u/>
      <sz val="8"/>
      <color rgb="FF00B0F0"/>
      <name val="Franklin Gothic Medium"/>
      <family val="2"/>
      <scheme val="minor"/>
    </font>
    <font>
      <sz val="8"/>
      <color theme="6"/>
      <name val="Franklin Gothic Medium"/>
      <family val="2"/>
      <scheme val="minor"/>
    </font>
    <font>
      <b/>
      <sz val="10"/>
      <color theme="9" tint="0.39997558519241921"/>
      <name val="Franklin Gothic Medium"/>
      <family val="2"/>
      <scheme val="minor"/>
    </font>
    <font>
      <b/>
      <sz val="10"/>
      <color rgb="FFC00000"/>
      <name val="Franklin Gothic Medium"/>
      <family val="2"/>
      <scheme val="minor"/>
    </font>
    <font>
      <sz val="9"/>
      <color rgb="FF7030A0"/>
      <name val="Franklin Gothic Medium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theme="1" tint="0.14996795556505021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ck">
        <color theme="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/>
      </top>
      <bottom style="thin">
        <color theme="0"/>
      </bottom>
      <diagonal/>
    </border>
    <border>
      <left style="dotted">
        <color theme="0" tint="-0.34998626667073579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4" tint="0.39994506668294322"/>
      </bottom>
      <diagonal/>
    </border>
    <border>
      <left/>
      <right style="dotted">
        <color theme="0" tint="-0.34998626667073579"/>
      </right>
      <top/>
      <bottom style="medium">
        <color theme="4" tint="0.39994506668294322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6" fontId="2" fillId="3" borderId="10" applyFont="0" applyAlignment="0">
      <alignment vertical="center"/>
    </xf>
    <xf numFmtId="164" fontId="7" fillId="0" borderId="2">
      <alignment horizontal="right" vertical="center" wrapText="1" indent="1"/>
    </xf>
  </cellStyleXfs>
  <cellXfs count="108">
    <xf numFmtId="0" fontId="0" fillId="0" borderId="0" xfId="0">
      <alignment vertical="center"/>
    </xf>
    <xf numFmtId="3" fontId="0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4" fontId="2" fillId="0" borderId="0" xfId="0" applyNumberFormat="1" applyFont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horizontal="right" wrapText="1" indent="1"/>
    </xf>
    <xf numFmtId="165" fontId="3" fillId="0" borderId="0" xfId="0" applyNumberFormat="1" applyFont="1" applyFill="1" applyBorder="1" applyAlignment="1">
      <alignment horizontal="right" wrapText="1" indent="1"/>
    </xf>
    <xf numFmtId="3" fontId="3" fillId="0" borderId="0" xfId="0" applyNumberFormat="1" applyFont="1" applyFill="1" applyBorder="1" applyAlignment="1">
      <alignment horizontal="right" wrapText="1" indent="1"/>
    </xf>
    <xf numFmtId="0" fontId="0" fillId="0" borderId="1" xfId="0" applyBorder="1">
      <alignment vertical="center"/>
    </xf>
    <xf numFmtId="166" fontId="0" fillId="0" borderId="0" xfId="0" applyNumberFormat="1">
      <alignment vertical="center"/>
    </xf>
    <xf numFmtId="0" fontId="8" fillId="0" borderId="0" xfId="2" applyAlignment="1">
      <alignment horizontal="left"/>
    </xf>
    <xf numFmtId="166" fontId="0" fillId="0" borderId="0" xfId="0" applyNumberFormat="1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right" wrapText="1" indent="1"/>
    </xf>
    <xf numFmtId="3" fontId="4" fillId="0" borderId="2" xfId="0" applyNumberFormat="1" applyFont="1" applyFill="1" applyBorder="1" applyAlignment="1">
      <alignment horizontal="right" vertical="center" wrapText="1" indent="1"/>
    </xf>
    <xf numFmtId="3" fontId="2" fillId="0" borderId="3" xfId="0" applyNumberFormat="1" applyFont="1" applyFill="1" applyBorder="1" applyAlignment="1">
      <alignment horizontal="right" wrapText="1" indent="1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164" fontId="6" fillId="2" borderId="7" xfId="0" applyNumberFormat="1" applyFont="1" applyFill="1" applyBorder="1" applyAlignment="1">
      <alignment horizontal="right" vertical="center" wrapText="1" indent="1"/>
    </xf>
    <xf numFmtId="165" fontId="3" fillId="2" borderId="7" xfId="0" applyNumberFormat="1" applyFont="1" applyFill="1" applyBorder="1" applyAlignment="1">
      <alignment horizontal="right" wrapText="1" indent="1"/>
    </xf>
    <xf numFmtId="165" fontId="3" fillId="2" borderId="6" xfId="0" applyNumberFormat="1" applyFont="1" applyFill="1" applyBorder="1" applyAlignment="1">
      <alignment horizontal="right" wrapText="1" indent="1"/>
    </xf>
    <xf numFmtId="166" fontId="2" fillId="2" borderId="7" xfId="0" applyNumberFormat="1" applyFont="1" applyFill="1" applyBorder="1" applyAlignment="1">
      <alignment horizontal="right"/>
    </xf>
    <xf numFmtId="166" fontId="0" fillId="2" borderId="6" xfId="0" applyNumberFormat="1" applyFill="1" applyBorder="1">
      <alignment vertical="center"/>
    </xf>
    <xf numFmtId="166" fontId="2" fillId="2" borderId="8" xfId="0" applyNumberFormat="1" applyFont="1" applyFill="1" applyBorder="1" applyAlignment="1">
      <alignment vertical="center"/>
    </xf>
    <xf numFmtId="3" fontId="0" fillId="2" borderId="6" xfId="0" applyNumberFormat="1" applyFont="1" applyFill="1" applyBorder="1">
      <alignment vertical="center"/>
    </xf>
    <xf numFmtId="166" fontId="0" fillId="2" borderId="6" xfId="0" applyNumberFormat="1" applyFont="1" applyFill="1" applyBorder="1">
      <alignment vertical="center"/>
    </xf>
    <xf numFmtId="0" fontId="0" fillId="2" borderId="9" xfId="0" applyFill="1" applyBorder="1">
      <alignment vertical="center"/>
    </xf>
    <xf numFmtId="0" fontId="8" fillId="0" borderId="0" xfId="2" applyAlignment="1">
      <alignment vertical="center"/>
    </xf>
    <xf numFmtId="0" fontId="1" fillId="0" borderId="11" xfId="0" applyFont="1" applyFill="1" applyBorder="1" applyAlignment="1"/>
    <xf numFmtId="166" fontId="2" fillId="3" borderId="10" xfId="5" applyFont="1" applyAlignment="1">
      <alignment vertical="center"/>
    </xf>
    <xf numFmtId="0" fontId="0" fillId="0" borderId="10" xfId="0" applyBorder="1">
      <alignment vertical="center"/>
    </xf>
    <xf numFmtId="0" fontId="1" fillId="0" borderId="10" xfId="0" applyFont="1" applyFill="1" applyBorder="1">
      <alignment vertical="center"/>
    </xf>
    <xf numFmtId="165" fontId="2" fillId="0" borderId="3" xfId="0" applyNumberFormat="1" applyFont="1" applyFill="1" applyBorder="1" applyAlignment="1">
      <alignment horizontal="right" wrapText="1" indent="1"/>
    </xf>
    <xf numFmtId="166" fontId="8" fillId="0" borderId="11" xfId="2" applyNumberFormat="1" applyFill="1" applyBorder="1" applyAlignment="1">
      <alignment horizontal="left" vertical="center"/>
    </xf>
    <xf numFmtId="166" fontId="2" fillId="0" borderId="10" xfId="0" applyNumberFormat="1" applyFont="1" applyFill="1" applyBorder="1" applyAlignment="1">
      <alignment horizontal="right" vertical="center"/>
    </xf>
    <xf numFmtId="164" fontId="7" fillId="0" borderId="2" xfId="6">
      <alignment horizontal="right" vertical="center" wrapText="1" indent="1"/>
    </xf>
    <xf numFmtId="166" fontId="8" fillId="3" borderId="11" xfId="2" applyNumberFormat="1" applyFill="1" applyBorder="1" applyAlignment="1">
      <alignment horizontal="left" vertical="center"/>
    </xf>
    <xf numFmtId="0" fontId="11" fillId="0" borderId="0" xfId="2" applyFont="1"/>
    <xf numFmtId="166" fontId="0" fillId="0" borderId="0" xfId="0" applyNumberFormat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166" fontId="12" fillId="0" borderId="0" xfId="0" applyNumberFormat="1" applyFont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0" fillId="2" borderId="4" xfId="0" applyFont="1" applyFill="1" applyBorder="1">
      <alignment vertical="center"/>
    </xf>
    <xf numFmtId="0" fontId="0" fillId="2" borderId="6" xfId="0" applyNumberFormat="1" applyFont="1" applyFill="1" applyBorder="1">
      <alignment vertical="center"/>
    </xf>
    <xf numFmtId="0" fontId="0" fillId="0" borderId="0" xfId="0" applyFont="1">
      <alignment vertical="center"/>
    </xf>
    <xf numFmtId="166" fontId="0" fillId="0" borderId="0" xfId="0" applyNumberFormat="1" applyFont="1">
      <alignment vertical="center"/>
    </xf>
    <xf numFmtId="0" fontId="0" fillId="2" borderId="6" xfId="0" applyFont="1" applyFill="1" applyBorder="1">
      <alignment vertical="center"/>
    </xf>
    <xf numFmtId="0" fontId="0" fillId="0" borderId="0" xfId="0" applyFont="1" applyAlignment="1">
      <alignment horizontal="right" vertical="center"/>
    </xf>
    <xf numFmtId="166" fontId="0" fillId="0" borderId="0" xfId="0" applyNumberFormat="1" applyFont="1" applyAlignment="1">
      <alignment horizontal="right" vertical="center"/>
    </xf>
    <xf numFmtId="0" fontId="13" fillId="2" borderId="6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vertical="center"/>
    </xf>
    <xf numFmtId="1" fontId="0" fillId="0" borderId="0" xfId="0" applyNumberForma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wrapText="1"/>
    </xf>
    <xf numFmtId="3" fontId="20" fillId="0" borderId="6" xfId="0" applyNumberFormat="1" applyFont="1" applyFill="1" applyBorder="1">
      <alignment vertical="center"/>
    </xf>
    <xf numFmtId="3" fontId="21" fillId="0" borderId="0" xfId="0" applyNumberFormat="1" applyFont="1" applyFill="1" applyBorder="1">
      <alignment vertical="center"/>
    </xf>
    <xf numFmtId="3" fontId="14" fillId="0" borderId="6" xfId="0" applyNumberFormat="1" applyFont="1" applyFill="1" applyBorder="1">
      <alignment vertical="center"/>
    </xf>
    <xf numFmtId="0" fontId="25" fillId="0" borderId="0" xfId="0" applyFont="1" applyAlignment="1">
      <alignment horizontal="center" vertical="center"/>
    </xf>
    <xf numFmtId="166" fontId="26" fillId="0" borderId="0" xfId="0" applyNumberFormat="1" applyFont="1" applyAlignment="1">
      <alignment horizontal="left" vertical="center" indent="1"/>
    </xf>
    <xf numFmtId="0" fontId="26" fillId="2" borderId="6" xfId="0" applyFont="1" applyFill="1" applyBorder="1">
      <alignment vertical="center"/>
    </xf>
    <xf numFmtId="166" fontId="26" fillId="0" borderId="0" xfId="0" applyNumberFormat="1" applyFont="1" applyFill="1" applyBorder="1" applyAlignment="1">
      <alignment horizontal="right" vertical="center"/>
    </xf>
    <xf numFmtId="3" fontId="27" fillId="0" borderId="6" xfId="0" applyNumberFormat="1" applyFont="1" applyFill="1" applyBorder="1">
      <alignment vertical="center"/>
    </xf>
    <xf numFmtId="166" fontId="0" fillId="4" borderId="0" xfId="0" applyNumberFormat="1" applyFill="1" applyAlignment="1">
      <alignment horizontal="right" vertical="center"/>
    </xf>
    <xf numFmtId="166" fontId="12" fillId="0" borderId="13" xfId="0" applyNumberFormat="1" applyFont="1" applyBorder="1">
      <alignment vertical="center"/>
    </xf>
    <xf numFmtId="166" fontId="31" fillId="0" borderId="0" xfId="0" applyNumberFormat="1" applyFont="1" applyFill="1" applyBorder="1" applyAlignment="1">
      <alignment horizontal="right" vertical="center"/>
    </xf>
    <xf numFmtId="166" fontId="32" fillId="0" borderId="0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1" fontId="35" fillId="0" borderId="0" xfId="0" applyNumberFormat="1" applyFont="1">
      <alignment vertical="center"/>
    </xf>
    <xf numFmtId="0" fontId="34" fillId="0" borderId="0" xfId="0" applyFont="1" applyFill="1" applyBorder="1" applyAlignment="1">
      <alignment horizontal="left" vertical="center" indent="1"/>
    </xf>
    <xf numFmtId="166" fontId="40" fillId="0" borderId="12" xfId="0" applyNumberFormat="1" applyFont="1" applyBorder="1" applyAlignment="1">
      <alignment horizontal="left"/>
    </xf>
    <xf numFmtId="0" fontId="5" fillId="0" borderId="1" xfId="1" applyBorder="1" applyAlignment="1">
      <alignment vertical="center"/>
    </xf>
    <xf numFmtId="14" fontId="2" fillId="0" borderId="0" xfId="0" applyNumberFormat="1" applyFont="1" applyFill="1" applyBorder="1" applyAlignment="1">
      <alignment horizontal="left" vertical="center" indent="1"/>
    </xf>
    <xf numFmtId="166" fontId="42" fillId="3" borderId="10" xfId="5" applyFont="1" applyAlignment="1">
      <alignment vertical="center"/>
    </xf>
    <xf numFmtId="0" fontId="43" fillId="0" borderId="0" xfId="0" applyFont="1" applyFill="1" applyBorder="1" applyAlignment="1">
      <alignment horizontal="left" vertical="center" indent="1"/>
    </xf>
    <xf numFmtId="0" fontId="33" fillId="2" borderId="6" xfId="0" applyFont="1" applyFill="1" applyBorder="1">
      <alignment vertical="center"/>
    </xf>
    <xf numFmtId="166" fontId="33" fillId="0" borderId="0" xfId="0" applyNumberFormat="1" applyFont="1" applyFill="1" applyBorder="1" applyAlignment="1">
      <alignment horizontal="right" vertical="center"/>
    </xf>
    <xf numFmtId="166" fontId="43" fillId="0" borderId="0" xfId="0" applyNumberFormat="1" applyFont="1" applyFill="1" applyBorder="1" applyAlignment="1">
      <alignment horizontal="right" vertical="center"/>
    </xf>
    <xf numFmtId="3" fontId="33" fillId="2" borderId="6" xfId="0" applyNumberFormat="1" applyFont="1" applyFill="1" applyBorder="1">
      <alignment vertical="center"/>
    </xf>
    <xf numFmtId="3" fontId="33" fillId="0" borderId="0" xfId="0" applyNumberFormat="1" applyFont="1" applyFill="1" applyBorder="1">
      <alignment vertical="center"/>
    </xf>
    <xf numFmtId="0" fontId="33" fillId="0" borderId="0" xfId="0" applyFont="1">
      <alignment vertical="center"/>
    </xf>
    <xf numFmtId="0" fontId="44" fillId="0" borderId="0" xfId="0" applyFont="1" applyFill="1" applyBorder="1" applyAlignment="1">
      <alignment horizontal="left" vertical="center" indent="1"/>
    </xf>
    <xf numFmtId="166" fontId="45" fillId="0" borderId="0" xfId="0" applyNumberFormat="1" applyFont="1" applyFill="1" applyBorder="1">
      <alignment vertical="center"/>
    </xf>
    <xf numFmtId="166" fontId="43" fillId="0" borderId="0" xfId="0" applyNumberFormat="1" applyFont="1" applyFill="1" applyBorder="1">
      <alignment vertical="center"/>
    </xf>
    <xf numFmtId="166" fontId="46" fillId="3" borderId="10" xfId="5" applyFont="1" applyAlignment="1">
      <alignment vertical="center"/>
    </xf>
    <xf numFmtId="166" fontId="41" fillId="0" borderId="0" xfId="0" applyNumberFormat="1" applyFont="1">
      <alignment vertical="center"/>
    </xf>
    <xf numFmtId="0" fontId="47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1" fontId="41" fillId="0" borderId="0" xfId="0" applyNumberFormat="1" applyFo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1" fontId="24" fillId="0" borderId="0" xfId="0" applyNumberFormat="1" applyFont="1">
      <alignment vertical="center"/>
    </xf>
    <xf numFmtId="166" fontId="24" fillId="0" borderId="0" xfId="0" applyNumberFormat="1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166" fontId="51" fillId="3" borderId="10" xfId="5" applyFont="1" applyAlignment="1">
      <alignment vertical="center"/>
    </xf>
    <xf numFmtId="3" fontId="52" fillId="0" borderId="0" xfId="0" applyNumberFormat="1" applyFont="1" applyFill="1" applyBorder="1">
      <alignment vertical="center"/>
    </xf>
    <xf numFmtId="166" fontId="8" fillId="3" borderId="0" xfId="2" applyNumberFormat="1" applyFill="1" applyBorder="1" applyAlignment="1">
      <alignment horizontal="left" vertical="center"/>
    </xf>
    <xf numFmtId="0" fontId="1" fillId="0" borderId="0" xfId="0" applyFont="1" applyFill="1" applyBorder="1" applyAlignment="1"/>
  </cellXfs>
  <cellStyles count="7">
    <cellStyle name="Month" xfId="6" xr:uid="{00000000-0005-0000-0000-000000000000}"/>
    <cellStyle name="Normal" xfId="0" builtinId="0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Tittel" xfId="1" builtinId="15" customBuiltin="1"/>
    <cellStyle name="Totals" xfId="5" xr:uid="{00000000-0005-0000-0000-000006000000}"/>
  </cellStyles>
  <dxfs count="24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7030A0"/>
        <name val="Franklin Gothic Medium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/>
        <name val="Franklin Gothic Medium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 style="thick">
          <color theme="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 style="thick">
          <color theme="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3743705557422"/>
        <name val="Franklin Gothic Medium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color rgb="FFC00000"/>
      </font>
      <numFmt numFmtId="0" formatCode="General"/>
      <alignment horizontal="center" vertical="center" textRotation="0" wrapText="0" indent="0" justifyLastLine="0" shrinkToFit="0" readingOrder="0"/>
    </dxf>
    <dxf>
      <numFmt numFmtId="166" formatCode="0_);\-0_)"/>
    </dxf>
    <dxf>
      <numFmt numFmtId="166" formatCode="0_);\-0_)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alignment horizontal="left" vertical="bottom" textRotation="0" wrapText="0" indent="1" justifyLastLine="0" shrinkToFit="0" readingOrder="0"/>
    </dxf>
    <dxf>
      <font>
        <strike/>
        <outline/>
        <shadow/>
        <u val="none"/>
        <vertAlign val="baseline"/>
        <sz val="10"/>
        <color theme="1" tint="0.499984740745262"/>
        <name val="Franklin Gothic Medium"/>
        <scheme val="minor"/>
      </font>
      <numFmt numFmtId="166" formatCode="0_);\-0_)"/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u val="none"/>
        <vertAlign val="baseline"/>
        <sz val="10"/>
        <name val="Franklin Gothic Medium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166" formatCode="0_);\-0_)"/>
    </dxf>
    <dxf>
      <font>
        <b/>
        <i/>
        <strike/>
        <condense/>
        <extend/>
        <outline/>
        <shadow/>
        <u val="none"/>
        <vertAlign val="baseline"/>
        <sz val="10"/>
        <color theme="1" tint="0.14996795556505021"/>
        <name val="Franklin Gothic Medium"/>
        <scheme val="minor"/>
      </font>
      <numFmt numFmtId="3" formatCode="#,##0"/>
      <fill>
        <patternFill patternType="none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alignment horizontal="left" vertical="bottom" textRotation="0" wrapText="0" indent="1" justifyLastLine="0" shrinkToFit="0" readingOrder="0"/>
    </dxf>
    <dxf>
      <font>
        <strike/>
        <outline/>
        <shadow/>
        <u val="none"/>
        <vertAlign val="baseline"/>
        <sz val="10"/>
        <color theme="1" tint="0.499984740745262"/>
        <name val="Franklin Gothic Medium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sz val="9"/>
        <color rgb="FFC00000"/>
      </font>
      <numFmt numFmtId="0" formatCode="General"/>
      <alignment horizontal="center" vertical="center" textRotation="0" wrapText="0" indent="0" justifyLastLine="0" shrinkToFit="0" readingOrder="0"/>
    </dxf>
    <dxf>
      <numFmt numFmtId="166" formatCode="0_);\-0_)"/>
    </dxf>
    <dxf>
      <numFmt numFmtId="166" formatCode="0_);\-0_)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numFmt numFmtId="166" formatCode="0_);\-0_)"/>
      <alignment horizontal="right" vertical="center" textRotation="0" wrapText="0" indent="0" justifyLastLine="0" shrinkToFit="0" readingOrder="0"/>
    </dxf>
    <dxf>
      <numFmt numFmtId="166" formatCode="0_);\-0_)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alignment horizontal="left" vertical="bottom" textRotation="0" wrapText="0" indent="1" justifyLastLine="0" shrinkToFit="0" readingOrder="0"/>
    </dxf>
    <dxf>
      <font>
        <strike/>
        <outline/>
        <shadow/>
        <u val="none"/>
        <vertAlign val="baseline"/>
        <sz val="10"/>
        <color theme="1" tint="0.499984740745262"/>
        <name val="Franklin Gothic Medium"/>
        <scheme val="minor"/>
      </font>
      <numFmt numFmtId="166" formatCode="0_);\-0_)"/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u val="none"/>
        <vertAlign val="baseline"/>
        <sz val="10"/>
        <name val="Franklin Gothic Medium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</dxf>
    <dxf>
      <font>
        <color rgb="FFC00000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F0"/>
        <name val="Franklin Gothic Medium"/>
        <family val="2"/>
        <scheme val="minor"/>
      </font>
      <numFmt numFmtId="1" formatCode="0"/>
    </dxf>
    <dxf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66" formatCode="0_);\-0_)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 style="thick">
          <color theme="0"/>
        </bottom>
      </border>
    </dxf>
    <dxf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alignment horizontal="left" vertical="bottom" textRotation="0" wrapText="0" indent="1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theme="1" tint="0.499984740745262"/>
        <name val="Franklin Gothic Medium"/>
        <scheme val="minor"/>
      </font>
      <numFmt numFmtId="166" formatCode="0_);\-0_)"/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u val="none"/>
        <vertAlign val="baseline"/>
        <sz val="10"/>
        <name val="Franklin Gothic Medium"/>
        <scheme val="minor"/>
      </font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" formatCode="0"/>
    </dxf>
    <dxf>
      <numFmt numFmtId="166" formatCode="0_);\-0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3743705557422"/>
        <name val="Franklin Gothic Medium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/>
        <strike/>
        <condense/>
        <extend/>
        <outline/>
        <shadow/>
        <u val="none"/>
        <vertAlign val="baseline"/>
        <sz val="10"/>
        <color theme="1" tint="0.14996795556505021"/>
        <name val="Franklin Gothic Medium"/>
        <scheme val="minor"/>
      </font>
      <numFmt numFmtId="3" formatCode="#,##0"/>
      <fill>
        <patternFill patternType="none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 tint="0.14993743705557422"/>
        <name val="Franklin Gothic Medium"/>
        <family val="2"/>
        <scheme val="minor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0_);\-0_)"/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theme="1" tint="0.499984740745262"/>
        <name val="Franklin Gothic Medium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</dxf>
    <dxf>
      <font>
        <color rgb="FFC00000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" formatCode="0"/>
    </dxf>
    <dxf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66" formatCode="0_);\-0_)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numFmt numFmtId="166" formatCode="0_);\-0_)"/>
    </dxf>
    <dxf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 style="thick">
          <color theme="0"/>
        </bottom>
      </border>
    </dxf>
    <dxf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alignment horizontal="left" vertical="bottom" textRotation="0" wrapText="0" indent="1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theme="1" tint="0.499984740745262"/>
        <name val="Franklin Gothic Medium"/>
        <scheme val="minor"/>
      </font>
      <numFmt numFmtId="166" formatCode="0_);\-0_)"/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u val="none"/>
        <vertAlign val="baseline"/>
        <sz val="10"/>
        <name val="Franklin Gothic Medium"/>
        <scheme val="minor"/>
      </font>
    </dxf>
    <dxf>
      <fill>
        <patternFill patternType="none">
          <bgColor auto="1"/>
        </patternFill>
      </fill>
      <border>
        <vertical/>
        <horizontal/>
      </border>
    </dxf>
    <dxf>
      <font>
        <color theme="1" tint="0.14996795556505021"/>
      </font>
    </dxf>
    <dxf>
      <border diagonalUp="0" diagonalDown="0">
        <left style="dotted">
          <color theme="0" tint="-0.34998626667073579"/>
        </left>
        <right style="dotted">
          <color theme="0" tint="-0.34998626667073579"/>
        </right>
        <top style="thin">
          <color theme="0" tint="-0.34998626667073579"/>
        </top>
        <bottom style="dotted">
          <color theme="0" tint="-0.34998626667073579"/>
        </bottom>
        <vertical/>
        <horizontal/>
      </border>
    </dxf>
    <dxf>
      <font>
        <b val="0"/>
        <i val="0"/>
        <color theme="1" tint="0.34998626667073579"/>
      </font>
    </dxf>
    <dxf>
      <font>
        <b val="0"/>
        <i val="0"/>
        <color theme="1" tint="0.14990691854609822"/>
      </font>
      <fill>
        <patternFill patternType="solid">
          <bgColor theme="4" tint="0.79998168889431442"/>
        </patternFill>
      </fill>
      <border>
        <top/>
        <bottom style="medium">
          <color theme="4" tint="0.39994506668294322"/>
        </bottom>
      </border>
    </dxf>
    <dxf>
      <font>
        <b val="0"/>
        <i val="0"/>
        <color theme="1" tint="0.14993743705557422"/>
      </font>
    </dxf>
    <dxf>
      <font>
        <color theme="1" tint="0.499984740745262"/>
      </font>
      <border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dotted">
          <color theme="0" tint="-0.34998626667073579"/>
        </vertical>
        <horizontal style="thin">
          <color theme="0" tint="-0.34998626667073579"/>
        </horizontal>
      </border>
    </dxf>
  </dxfs>
  <tableStyles count="1" defaultTableStyle="Cash Receipts" defaultPivotStyle="PivotStyleLight16">
    <tableStyle name="Cash Receipts" pivot="0" count="7" xr9:uid="{00000000-0011-0000-FFFF-FFFF00000000}">
      <tableStyleElement type="wholeTable" dxfId="242"/>
      <tableStyleElement type="headerRow" dxfId="241"/>
      <tableStyleElement type="totalRow" dxfId="240"/>
      <tableStyleElement type="firstColumn" dxfId="239"/>
      <tableStyleElement type="lastColumn" dxfId="238"/>
      <tableStyleElement type="firstTotalCell" dxfId="237"/>
      <tableStyleElement type="lastTotalCell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ontantinnbetalinger" displayName="Kontantinnbetalinger" ref="B10:T21" headerRowCount="0" totalsRowCount="1" totalsRowDxfId="235">
  <tableColumns count="19">
    <tableColumn id="1" xr3:uid="{00000000-0010-0000-0000-000001000000}" name="Items" totalsRowLabel="Totale innbetalinger, pr. mnd./2018" headerRowDxfId="234" dataDxfId="233" totalsRowDxfId="232"/>
    <tableColumn id="17" xr3:uid="{00000000-0010-0000-0000-000011000000}" name="Column2" headerRowDxfId="231" dataDxfId="230" totalsRowDxfId="229"/>
    <tableColumn id="2" xr3:uid="{00000000-0010-0000-0000-000002000000}" name="Periode 0" dataDxfId="228" totalsRowDxfId="227"/>
    <tableColumn id="3" xr3:uid="{00000000-0010-0000-0000-000003000000}" name="Periode 1" totalsRowFunction="sum" dataDxfId="226" totalsRowDxfId="225"/>
    <tableColumn id="4" xr3:uid="{00000000-0010-0000-0000-000004000000}" name="Periode 2" totalsRowFunction="sum" dataDxfId="224" totalsRowDxfId="223"/>
    <tableColumn id="5" xr3:uid="{00000000-0010-0000-0000-000005000000}" name="Periode 3" totalsRowFunction="sum" dataDxfId="222" totalsRowDxfId="221"/>
    <tableColumn id="6" xr3:uid="{00000000-0010-0000-0000-000006000000}" name="Periode 4" totalsRowFunction="sum" dataDxfId="220" totalsRowDxfId="219"/>
    <tableColumn id="7" xr3:uid="{00000000-0010-0000-0000-000007000000}" name="Periode 5" totalsRowFunction="sum" dataDxfId="218" totalsRowDxfId="217"/>
    <tableColumn id="8" xr3:uid="{00000000-0010-0000-0000-000008000000}" name="Periode 6" totalsRowFunction="sum" dataDxfId="216" totalsRowDxfId="215"/>
    <tableColumn id="9" xr3:uid="{00000000-0010-0000-0000-000009000000}" name="Periode 7" totalsRowFunction="sum" dataDxfId="214" totalsRowDxfId="213"/>
    <tableColumn id="10" xr3:uid="{00000000-0010-0000-0000-00000A000000}" name="Periode 8" totalsRowFunction="sum" dataDxfId="212" totalsRowDxfId="211"/>
    <tableColumn id="11" xr3:uid="{00000000-0010-0000-0000-00000B000000}" name="Periode 9" totalsRowFunction="sum" dataDxfId="210" totalsRowDxfId="209"/>
    <tableColumn id="12" xr3:uid="{00000000-0010-0000-0000-00000C000000}" name="Periode 10" totalsRowFunction="sum" dataDxfId="208" totalsRowDxfId="207"/>
    <tableColumn id="13" xr3:uid="{00000000-0010-0000-0000-00000D000000}" name="Periode 11" totalsRowFunction="sum" dataDxfId="206" totalsRowDxfId="205"/>
    <tableColumn id="14" xr3:uid="{00000000-0010-0000-0000-00000E000000}" name="Periode 12" totalsRowFunction="sum" dataDxfId="204" totalsRowDxfId="203"/>
    <tableColumn id="18" xr3:uid="{00000000-0010-0000-0000-000012000000}" name="Column3" dataDxfId="202" totalsRowDxfId="201"/>
    <tableColumn id="15" xr3:uid="{00000000-0010-0000-0000-00000F000000}" name="Totalt" totalsRowFunction="custom" dataDxfId="200" totalsRowDxfId="199">
      <calculatedColumnFormula>SUM(Kontantinnbetalinger[[#This Row],[Periode 0]:[Periode 12]])</calculatedColumnFormula>
      <totalsRowFormula>SUM(Kontantinnbetalinger[[#Totals],[Periode 1]:[Periode 12]])</totalsRowFormula>
    </tableColumn>
    <tableColumn id="16" xr3:uid="{00000000-0010-0000-0000-000010000000}" name="Kolonne1" dataDxfId="198">
      <calculatedColumnFormula>Kontantinnbetalinger[[#This Row],[Totalt]]-28800</calculatedColumnFormula>
    </tableColumn>
    <tableColumn id="19" xr3:uid="{17B84EC9-EADE-4698-A9EC-AD7AD98E349C}" name="Kolonne2" totalsRowDxfId="197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Receipts" altTextSummary="Cash receipts for 12 months starting with the first month of the fiscal year along with a calculated grand total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KontanterUtbetalt" displayName="KontanterUtbetalt" ref="B25:T37" headerRowCount="0" totalsRowCount="1">
  <tableColumns count="19">
    <tableColumn id="1" xr3:uid="{00000000-0010-0000-0100-000001000000}" name="Items" totalsRowLabel="Totale utbetalinger, pr. mnd./2018" headerRowDxfId="196" dataDxfId="195" totalsRowDxfId="194"/>
    <tableColumn id="17" xr3:uid="{00000000-0010-0000-0100-000011000000}" name="Column2" headerRowDxfId="193" dataDxfId="192" totalsRowDxfId="191"/>
    <tableColumn id="2" xr3:uid="{00000000-0010-0000-0100-000002000000}" name="Periode 0" dataDxfId="190" totalsRowDxfId="189"/>
    <tableColumn id="3" xr3:uid="{00000000-0010-0000-0100-000003000000}" name="Periode 1" totalsRowFunction="sum" dataDxfId="188" totalsRowDxfId="187"/>
    <tableColumn id="4" xr3:uid="{00000000-0010-0000-0100-000004000000}" name="Periode 2" totalsRowFunction="sum" dataDxfId="186" totalsRowDxfId="185"/>
    <tableColumn id="5" xr3:uid="{00000000-0010-0000-0100-000005000000}" name="Periode 3" totalsRowFunction="sum" dataDxfId="184" totalsRowDxfId="183"/>
    <tableColumn id="6" xr3:uid="{00000000-0010-0000-0100-000006000000}" name="Periode 4" totalsRowFunction="sum" dataDxfId="182" totalsRowDxfId="181"/>
    <tableColumn id="7" xr3:uid="{00000000-0010-0000-0100-000007000000}" name="Periode 5" totalsRowFunction="sum" dataDxfId="180" totalsRowDxfId="179"/>
    <tableColumn id="8" xr3:uid="{00000000-0010-0000-0100-000008000000}" name="Periode 6" totalsRowFunction="sum" dataDxfId="178" totalsRowDxfId="177"/>
    <tableColumn id="9" xr3:uid="{00000000-0010-0000-0100-000009000000}" name="Periode 7" totalsRowFunction="sum" dataDxfId="176" totalsRowDxfId="175"/>
    <tableColumn id="10" xr3:uid="{00000000-0010-0000-0100-00000A000000}" name="Periode 8" totalsRowFunction="sum" dataDxfId="174" totalsRowDxfId="173"/>
    <tableColumn id="11" xr3:uid="{00000000-0010-0000-0100-00000B000000}" name="Periode 9" totalsRowFunction="sum" dataDxfId="172" totalsRowDxfId="171"/>
    <tableColumn id="12" xr3:uid="{00000000-0010-0000-0100-00000C000000}" name="Periode 10" totalsRowFunction="sum" dataDxfId="170" totalsRowDxfId="169"/>
    <tableColumn id="13" xr3:uid="{00000000-0010-0000-0100-00000D000000}" name="Periode 11" totalsRowFunction="sum" dataDxfId="168" totalsRowDxfId="167"/>
    <tableColumn id="14" xr3:uid="{00000000-0010-0000-0100-00000E000000}" name="Periode 12" totalsRowFunction="sum" dataDxfId="166" totalsRowDxfId="165"/>
    <tableColumn id="18" xr3:uid="{00000000-0010-0000-0100-000012000000}" name="Column3" dataDxfId="164" totalsRowDxfId="163"/>
    <tableColumn id="15" xr3:uid="{00000000-0010-0000-0100-00000F000000}" name="Totalt" totalsRowFunction="custom" dataDxfId="162" totalsRowDxfId="161">
      <calculatedColumnFormula>SUM(KontanterUtbetalt[[#This Row],[Periode 0]:[Periode 12]])</calculatedColumnFormula>
      <totalsRowFormula>KontanterUtbetalt[[#Totals],[Periode 1]]+KontanterUtbetalt[[#Totals],[Periode 2]]+KontanterUtbetalt[[#Totals],[Periode 3]]+KontanterUtbetalt[[#Totals],[Periode 4]]+KontanterUtbetalt[[#Totals],[Periode 5]]+KontanterUtbetalt[[#Totals],[Periode 6]]+KontanterUtbetalt[[#Totals],[Periode 7]]+KontanterUtbetalt[[#Totals],[Periode 8]]+KontanterUtbetalt[[#Totals],[Periode 9]]+KontanterUtbetalt[[#Totals],[Periode 10]]+KontanterUtbetalt[[#Totals],[Periode 11]]+KontanterUtbetalt[[#Totals],[Periode 12]]</totalsRowFormula>
    </tableColumn>
    <tableColumn id="16" xr3:uid="{00000000-0010-0000-0100-000010000000}" name="Kolonne1" dataDxfId="160" totalsRowDxfId="159"/>
    <tableColumn id="19" xr3:uid="{062A5CB5-B043-47D7-ADF7-3CE29704137A}" name="Kolonne2" totalsRowDxfId="158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Paid Out" altTextSummary="Cash payouts for 12 months starting with the first month of the fiscal year along with a calculated grand total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C63E730-5A81-4481-A828-1E7C581BFEDC}" name="Kontantinnbetalinger10" displayName="Kontantinnbetalinger10" ref="B44:T45" headerRowCount="0" totalsRowCount="1" totalsRowDxfId="157">
  <tableColumns count="19">
    <tableColumn id="1" xr3:uid="{A14E2B06-6DE3-483E-9984-B6B25B9DFD90}" name="Items" totalsRowLabel="Totale inn-/utbetalinger, pr. mnd./2018" headerRowDxfId="156" dataDxfId="155" totalsRowDxfId="154"/>
    <tableColumn id="17" xr3:uid="{F37F4EFF-4665-40D1-9791-6218F0C0E9A2}" name="Column2" headerRowDxfId="153" dataDxfId="152" totalsRowDxfId="151"/>
    <tableColumn id="2" xr3:uid="{571CC6B9-15FC-4E17-A721-06BE5513AAA6}" name="Periode 0" dataDxfId="150" totalsRowDxfId="149"/>
    <tableColumn id="3" xr3:uid="{B1865F4E-B6DE-43EB-8251-4550FF86BAB1}" name="Periode 1" totalsRowFunction="custom" dataDxfId="148" totalsRowDxfId="147">
      <totalsRowFormula>Kontantinnbetalinger10[Periode 1]</totalsRowFormula>
    </tableColumn>
    <tableColumn id="4" xr3:uid="{F88DA639-7BE3-4FC3-A98E-F3ADE319447A}" name="Periode 2" totalsRowFunction="custom" dataDxfId="146" totalsRowDxfId="145">
      <totalsRowFormula>Kontantinnbetalinger10[Periode 2]</totalsRowFormula>
    </tableColumn>
    <tableColumn id="5" xr3:uid="{667F80B5-BF26-446C-A862-B5E2A9D150D7}" name="Periode 3" totalsRowFunction="custom" dataDxfId="144" totalsRowDxfId="143">
      <totalsRowFormula>Kontantinnbetalinger10[Periode 3]</totalsRowFormula>
    </tableColumn>
    <tableColumn id="6" xr3:uid="{00161C67-3016-426F-904E-9CF46BA14640}" name="Periode 4" totalsRowFunction="custom" dataDxfId="142" totalsRowDxfId="141">
      <totalsRowFormula>Kontantinnbetalinger10[Periode 4]</totalsRowFormula>
    </tableColumn>
    <tableColumn id="7" xr3:uid="{A7E4882E-1012-4D07-9A94-BC9E0F90DC4B}" name="Periode 5" totalsRowFunction="custom" dataDxfId="140" totalsRowDxfId="139">
      <totalsRowFormula>Kontantinnbetalinger10[Periode 5]</totalsRowFormula>
    </tableColumn>
    <tableColumn id="8" xr3:uid="{BE7F7460-127A-4C1A-8039-90DE424159BB}" name="Periode 6" totalsRowFunction="custom" dataDxfId="138" totalsRowDxfId="137">
      <totalsRowFormula>Kontantinnbetalinger10[Periode 6]</totalsRowFormula>
    </tableColumn>
    <tableColumn id="9" xr3:uid="{93578FD6-BBBF-4E6D-9F67-D87043724757}" name="Periode 7" totalsRowFunction="custom" dataDxfId="136" totalsRowDxfId="135">
      <totalsRowFormula>Kontantinnbetalinger10[Periode 7]</totalsRowFormula>
    </tableColumn>
    <tableColumn id="10" xr3:uid="{EA950302-D42E-4E63-953D-A18507B44A5A}" name="Periode 8" totalsRowFunction="custom" dataDxfId="134" totalsRowDxfId="133">
      <totalsRowFormula>Kontantinnbetalinger10[Periode 8]</totalsRowFormula>
    </tableColumn>
    <tableColumn id="11" xr3:uid="{E793FA0A-088C-4226-8D47-4DACBEF637FB}" name="Periode 9" totalsRowFunction="custom" dataDxfId="132" totalsRowDxfId="131">
      <totalsRowFormula>Kontantinnbetalinger10[Periode 9]</totalsRowFormula>
    </tableColumn>
    <tableColumn id="12" xr3:uid="{A5861B00-C7EC-4E31-AF8A-0AE031310693}" name="Periode 10" totalsRowFunction="custom" dataDxfId="130" totalsRowDxfId="129">
      <totalsRowFormula>Kontantinnbetalinger10[Periode 10]</totalsRowFormula>
    </tableColumn>
    <tableColumn id="13" xr3:uid="{0FB7C3F3-7532-4FBC-B65D-B43723BDD3C6}" name="Periode 11" totalsRowFunction="custom" dataDxfId="128" totalsRowDxfId="127">
      <totalsRowFormula>Kontantinnbetalinger10[Periode 11]</totalsRowFormula>
    </tableColumn>
    <tableColumn id="14" xr3:uid="{ACFF0F65-2E88-4E7D-859E-7A6C821FF0A6}" name="Periode 12" totalsRowFunction="custom" dataDxfId="126" totalsRowDxfId="125">
      <totalsRowFormula>Kontantinnbetalinger10[Periode 12]</totalsRowFormula>
    </tableColumn>
    <tableColumn id="18" xr3:uid="{C84EAD71-381D-4253-901D-7310BFB90520}" name="Column3" dataDxfId="124" totalsRowDxfId="123"/>
    <tableColumn id="15" xr3:uid="{3DB64A3E-E91D-46BA-A122-41D66B9DA163}" name="Totalt" dataDxfId="122" totalsRowDxfId="121"/>
    <tableColumn id="16" xr3:uid="{21384AC8-A58F-4200-BAB3-2129D615197C}" name="Kolonne1" dataDxfId="120"/>
    <tableColumn id="19" xr3:uid="{AF385BF4-4CDD-4302-90DC-EB1CC49F70CA}" name="Kolonne2" totalsRowDxfId="119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Receipts" altTextSummary="Cash receipts for 12 months starting with the first month of the fiscal year along with a calculated grand total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A55BD0-6D81-4CC3-81C1-691ED7EC1A70}" name="Kontantinnbetalinger5" displayName="Kontantinnbetalinger5" ref="B10:S21" headerRowCount="0" totalsRowCount="1" totalsRowDxfId="118">
  <tableColumns count="18">
    <tableColumn id="1" xr3:uid="{D63B9CDF-0D4A-49F2-91A0-A9B0930A310E}" name="Items" totalsRowLabel="Totale innbetalinger, pr. mnd./2019" headerRowDxfId="117" dataDxfId="116" totalsRowDxfId="51"/>
    <tableColumn id="17" xr3:uid="{51A4D569-9B52-4ED7-87EE-3F3F2E7FEE60}" name="Column2" headerRowDxfId="115" dataDxfId="114" totalsRowDxfId="50"/>
    <tableColumn id="2" xr3:uid="{5CC31DA6-3233-4A06-B61D-CD8B4070D7C1}" name="Periode 0" dataDxfId="113" totalsRowDxfId="49">
      <calculatedColumnFormula>Kontantinnbetalinger[[#This Row],[Totalt]]-28800</calculatedColumnFormula>
    </tableColumn>
    <tableColumn id="3" xr3:uid="{0C5E6172-8CE5-41C8-A068-0BE911964497}" name="Periode 1" totalsRowFunction="sum" dataDxfId="112" totalsRowDxfId="48"/>
    <tableColumn id="4" xr3:uid="{4CE55DFA-20EC-4997-A4B6-8C3770791AAA}" name="Periode 2" totalsRowFunction="sum" dataDxfId="59" totalsRowDxfId="47"/>
    <tableColumn id="5" xr3:uid="{8F2DC08F-9B1E-482E-9C93-A27EA6AD6449}" name="Periode 3" totalsRowFunction="sum" dataDxfId="61" totalsRowDxfId="46"/>
    <tableColumn id="6" xr3:uid="{438EDCBC-8BF3-462A-9581-1A013BAE7B78}" name="Periode 4" totalsRowFunction="sum" dataDxfId="111" totalsRowDxfId="45"/>
    <tableColumn id="7" xr3:uid="{1F8EDF3E-9A2E-45E2-A877-6FD9814143CA}" name="Periode 5" totalsRowFunction="sum" dataDxfId="58" totalsRowDxfId="44"/>
    <tableColumn id="8" xr3:uid="{38EB2EB5-A64F-448D-AE8D-594E3FA41D50}" name="Periode 6" totalsRowFunction="sum" dataDxfId="57" totalsRowDxfId="43"/>
    <tableColumn id="9" xr3:uid="{4FE2DBC8-5268-4309-89B8-8345A9859C21}" name="Periode 7" totalsRowFunction="sum" dataDxfId="56" totalsRowDxfId="42"/>
    <tableColumn id="10" xr3:uid="{800BFE3F-3BBC-4520-9886-3408F5A08AA5}" name="Periode 8" totalsRowFunction="sum" dataDxfId="55" totalsRowDxfId="41"/>
    <tableColumn id="11" xr3:uid="{9E5A3ECD-D198-43AA-BCCB-56E0501C67A9}" name="Periode 9" totalsRowFunction="sum" dataDxfId="54" totalsRowDxfId="40"/>
    <tableColumn id="12" xr3:uid="{BD44D9E7-37C4-45A4-9934-184A538CCEAD}" name="Periode 10" totalsRowFunction="sum" dataDxfId="60" totalsRowDxfId="39"/>
    <tableColumn id="13" xr3:uid="{87022767-F799-48A2-9924-12B50DE6CF94}" name="Periode 11" totalsRowFunction="sum" dataDxfId="53" totalsRowDxfId="38"/>
    <tableColumn id="14" xr3:uid="{09778494-F782-4025-AEB4-8B5A263B7C3D}" name="Periode 12" totalsRowFunction="sum" dataDxfId="52" totalsRowDxfId="37"/>
    <tableColumn id="18" xr3:uid="{E4A5CDCF-BFEE-4DAF-9D0B-4EB8A5F80B54}" name="Column3" dataDxfId="110" totalsRowDxfId="36"/>
    <tableColumn id="15" xr3:uid="{BA0C2188-7831-4A60-A128-040F932B8F59}" name="Totalt" totalsRowFunction="sum" dataDxfId="109" totalsRowDxfId="35">
      <calculatedColumnFormula>SUM(Kontantinnbetalinger5[[#This Row],[Periode 1]:[Periode 12]])</calculatedColumnFormula>
    </tableColumn>
    <tableColumn id="16" xr3:uid="{94458BEF-FEEB-4AA7-9115-B3A78CD4CC5E}" name="Kolonne1" dataDxfId="108" totalsRowDxfId="34">
      <calculatedColumnFormula>Kontantinnbetalinger5[[#This Row],[Totalt]]+Kontantinnbetalinger5[[#This Row],[Periode 0]]-31200</calculatedColumnFormula>
    </tableColumn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Receipts" altTextSummary="Cash receipts for 12 months starting with the first month of the fiscal year along with a calculated grand total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6467DA-C05D-4E06-AB51-1C67AA7F4B58}" name="KontanterUtbetalt6" displayName="KontanterUtbetalt6" ref="B25:T37" headerRowCount="0" totalsRowCount="1">
  <tableColumns count="19">
    <tableColumn id="1" xr3:uid="{6336DBA0-E246-4B94-BF6F-2E1F7B381695}" name="Items" totalsRowLabel="Totale utbetalinger, pr. mnd./2019" headerRowDxfId="107" dataDxfId="106" totalsRowDxfId="79"/>
    <tableColumn id="17" xr3:uid="{8FBC0D21-4BE0-4A6F-B070-5781025FE094}" name="Column2" headerRowDxfId="105" dataDxfId="104" totalsRowDxfId="78"/>
    <tableColumn id="2" xr3:uid="{B81A3EE4-DD4B-4CB4-B578-7A049FA18D61}" name="Periode 0" totalsRowFunction="sum" dataDxfId="103" totalsRowDxfId="77"/>
    <tableColumn id="3" xr3:uid="{C12041C4-AEAA-44E7-894E-75867EC7F7F7}" name="Periode 1" totalsRowFunction="sum" dataDxfId="102" totalsRowDxfId="76"/>
    <tableColumn id="4" xr3:uid="{7E389CC7-8F98-4F23-81C7-3BD26EDAD539}" name="Periode 2" totalsRowFunction="sum" dataDxfId="101" totalsRowDxfId="75"/>
    <tableColumn id="5" xr3:uid="{5D09911C-B065-4A0E-831E-B2DD60AB516B}" name="Periode 3" totalsRowFunction="sum" dataDxfId="100" totalsRowDxfId="74"/>
    <tableColumn id="6" xr3:uid="{BAAA618C-3807-498E-BCB0-B0EA3F76DEB8}" name="Periode 4" totalsRowFunction="sum" dataDxfId="99" totalsRowDxfId="73"/>
    <tableColumn id="7" xr3:uid="{A36C83DF-2E0C-4EBA-900A-193A088B95E7}" name="Periode 5" totalsRowFunction="sum" dataDxfId="98" totalsRowDxfId="72"/>
    <tableColumn id="8" xr3:uid="{BD06E70A-2D29-49E3-BF9A-F146E435467C}" name="Periode 6" totalsRowFunction="sum" dataDxfId="97" totalsRowDxfId="71"/>
    <tableColumn id="9" xr3:uid="{5780EFF7-7653-4529-8A38-04722B12F480}" name="Periode 7" totalsRowFunction="sum" dataDxfId="96" totalsRowDxfId="70"/>
    <tableColumn id="10" xr3:uid="{D2BE5C0C-3116-42DE-8F81-541F911A3D97}" name="Periode 8" totalsRowFunction="sum" dataDxfId="95" totalsRowDxfId="69"/>
    <tableColumn id="11" xr3:uid="{578FF135-0940-44EE-9622-F97D011C34CD}" name="Periode 9" totalsRowFunction="sum" dataDxfId="94" totalsRowDxfId="68"/>
    <tableColumn id="12" xr3:uid="{475820E8-61A6-48D7-932B-2E5E8D023761}" name="Periode 10" totalsRowFunction="sum" dataDxfId="93" totalsRowDxfId="67"/>
    <tableColumn id="13" xr3:uid="{D28E9348-3924-46CF-8FC6-D797AB735386}" name="Periode 11" totalsRowFunction="sum" dataDxfId="92" totalsRowDxfId="66"/>
    <tableColumn id="14" xr3:uid="{73D223A4-5A76-49D3-865C-1208825B93AB}" name="Periode 12" totalsRowFunction="sum" dataDxfId="91" totalsRowDxfId="65"/>
    <tableColumn id="18" xr3:uid="{52785D8B-ADFC-4912-9F44-F687B8EE6CBB}" name="Column3" dataDxfId="90" totalsRowDxfId="64"/>
    <tableColumn id="15" xr3:uid="{92F3825B-7E49-4349-BAE5-0E6CA750486B}" name="Totalt" totalsRowFunction="sum" dataDxfId="89" totalsRowDxfId="63">
      <calculatedColumnFormula>SUM(KontanterUtbetalt6[[#This Row],[Periode 0]:[Periode 12]])</calculatedColumnFormula>
    </tableColumn>
    <tableColumn id="16" xr3:uid="{7B7C8031-EEC7-4752-9693-0489F295F6EE}" name="Kolonne1" dataDxfId="88" totalsRowDxfId="28"/>
    <tableColumn id="19" xr3:uid="{7FD3E616-8021-4521-B3F7-437A9D46FBEF}" name="Kolonne2" totalsRowDxfId="62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Paid Out" altTextSummary="Cash payouts for 12 months starting with the first month of the fiscal year along with a calculated grand total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766AEC-7D99-4644-95B9-558904BA1583}" name="Kontantinnbetalinger109" displayName="Kontantinnbetalinger109" ref="B43:T44" headerRowCount="0" totalsRowCount="1" totalsRowDxfId="87">
  <tableColumns count="19">
    <tableColumn id="1" xr3:uid="{02000605-085C-40ED-92BF-13AC96019041}" name="Items" totalsRowLabel="Totale inn-/utbetalinger, pr. mnd./2018" headerRowDxfId="86" dataDxfId="85" totalsRowDxfId="33"/>
    <tableColumn id="17" xr3:uid="{3F855B61-FBC7-4A5C-B744-8CAE9217AD43}" name="Column2" headerRowDxfId="84" dataDxfId="83" totalsRowDxfId="32"/>
    <tableColumn id="2" xr3:uid="{218E26EF-B800-4AC5-A686-EF6E8C543721}" name="Periode 0" dataDxfId="27"/>
    <tableColumn id="3" xr3:uid="{C273AE7F-913D-4C91-9A70-359D640995CD}" name="Periode 1" totalsRowFunction="custom" dataDxfId="26">
      <totalsRowFormula>Kontantinnbetalinger109[Periode 1]</totalsRowFormula>
    </tableColumn>
    <tableColumn id="4" xr3:uid="{EC3EB49D-2BE3-45F1-95D1-BB5B7620B2A3}" name="Periode 2" totalsRowFunction="custom" dataDxfId="25">
      <totalsRowFormula>Kontantinnbetalinger109[Periode 2]</totalsRowFormula>
    </tableColumn>
    <tableColumn id="5" xr3:uid="{6F33C8A0-CC9D-47A4-B7FA-C4C731465379}" name="Periode 3" totalsRowFunction="custom" dataDxfId="24">
      <totalsRowFormula>Kontantinnbetalinger109[Periode 3]</totalsRowFormula>
    </tableColumn>
    <tableColumn id="6" xr3:uid="{344F7C60-7865-49ED-9BA0-FA36AD86E7A2}" name="Periode 4" totalsRowFunction="custom" dataDxfId="23">
      <totalsRowFormula>Kontantinnbetalinger109[Periode 4]</totalsRowFormula>
    </tableColumn>
    <tableColumn id="7" xr3:uid="{972A69FC-A6BB-4C8C-9F0F-FEF729415C78}" name="Periode 5" totalsRowFunction="custom" dataDxfId="22">
      <totalsRowFormula>Kontantinnbetalinger109[Periode 5]</totalsRowFormula>
    </tableColumn>
    <tableColumn id="8" xr3:uid="{AD0EFA83-A917-43BE-B837-6C824783F161}" name="Periode 6" totalsRowFunction="custom" dataDxfId="21">
      <totalsRowFormula>Kontantinnbetalinger109[Periode 6]</totalsRowFormula>
    </tableColumn>
    <tableColumn id="9" xr3:uid="{90EBC5DE-AA31-4EB2-BEB5-7C68B95A19D7}" name="Periode 7" totalsRowFunction="custom" dataDxfId="20">
      <totalsRowFormula>Kontantinnbetalinger109[Periode 7]</totalsRowFormula>
    </tableColumn>
    <tableColumn id="10" xr3:uid="{6C51B478-433C-44D0-8F5B-1A942280123E}" name="Periode 8" totalsRowFunction="custom" dataDxfId="19">
      <totalsRowFormula>Kontantinnbetalinger109[Periode 8]</totalsRowFormula>
    </tableColumn>
    <tableColumn id="11" xr3:uid="{75FB78E9-9461-4944-BC2F-31BB1CE61CE3}" name="Periode 9" totalsRowFunction="custom" dataDxfId="18">
      <totalsRowFormula>Kontantinnbetalinger109[Periode 9]</totalsRowFormula>
    </tableColumn>
    <tableColumn id="12" xr3:uid="{862926E2-A7DD-4671-B675-4AB69B989CC4}" name="Periode 10" totalsRowFunction="custom" dataDxfId="17">
      <totalsRowFormula>Kontantinnbetalinger109[Periode 10]</totalsRowFormula>
    </tableColumn>
    <tableColumn id="13" xr3:uid="{B06E48A7-2603-4E02-9BCB-E0CD462AB5BE}" name="Periode 11" totalsRowFunction="custom" dataDxfId="16">
      <totalsRowFormula>Kontantinnbetalinger109[Periode 11]</totalsRowFormula>
    </tableColumn>
    <tableColumn id="14" xr3:uid="{6B2BE3BE-B863-4CF5-A7E9-CACD60C5F291}" name="Periode 12" totalsRowFunction="custom" dataDxfId="15">
      <totalsRowFormula>Kontantinnbetalinger109[Periode 12]</totalsRowFormula>
    </tableColumn>
    <tableColumn id="18" xr3:uid="{E1115492-6C19-486C-A37F-1412CC04419D}" name="Column3" dataDxfId="82" totalsRowDxfId="31"/>
    <tableColumn id="15" xr3:uid="{B862FCB1-13A2-4805-93E5-4E1D50B0B6EC}" name="Totalt" dataDxfId="81" totalsRowDxfId="30"/>
    <tableColumn id="16" xr3:uid="{380F9272-4F9E-4EB2-BB38-749420786405}" name="Kolonne1" dataDxfId="80"/>
    <tableColumn id="19" xr3:uid="{0C5D1C50-B751-45A3-8DC7-BB50688B57EE}" name="Kolonne2" totalsRowDxfId="29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Receipts" altTextSummary="Cash receipts for 12 months starting with the first month of the fiscal year along with a calculated grand total."/>
    </ext>
  </extLst>
</table>
</file>

<file path=xl/theme/theme1.xml><?xml version="1.0" encoding="utf-8"?>
<a:theme xmlns:a="http://schemas.openxmlformats.org/drawingml/2006/main" name="Office Theme">
  <a:themeElements>
    <a:clrScheme name="Cash Flow Statement">
      <a:dk1>
        <a:sysClr val="windowText" lastClr="000000"/>
      </a:dk1>
      <a:lt1>
        <a:sysClr val="window" lastClr="FFFFFF"/>
      </a:lt1>
      <a:dk2>
        <a:srgbClr val="313F55"/>
      </a:dk2>
      <a:lt2>
        <a:srgbClr val="F2F2F2"/>
      </a:lt2>
      <a:accent1>
        <a:srgbClr val="308DA2"/>
      </a:accent1>
      <a:accent2>
        <a:srgbClr val="EB7A20"/>
      </a:accent2>
      <a:accent3>
        <a:srgbClr val="009D00"/>
      </a:accent3>
      <a:accent4>
        <a:srgbClr val="9D4CA4"/>
      </a:accent4>
      <a:accent5>
        <a:srgbClr val="FFC000"/>
      </a:accent5>
      <a:accent6>
        <a:srgbClr val="DC3220"/>
      </a:accent6>
      <a:hlink>
        <a:srgbClr val="1AA2B5"/>
      </a:hlink>
      <a:folHlink>
        <a:srgbClr val="9D4CA4"/>
      </a:folHlink>
    </a:clrScheme>
    <a:fontScheme name="Cash Flow Statement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V46"/>
  <sheetViews>
    <sheetView showGridLines="0" tabSelected="1" zoomScaleNormal="100" workbookViewId="0">
      <pane ySplit="4" topLeftCell="A29" activePane="bottomLeft" state="frozen"/>
      <selection pane="bottomLeft" activeCell="W30" sqref="W30"/>
    </sheetView>
  </sheetViews>
  <sheetFormatPr baseColWidth="10" defaultColWidth="9" defaultRowHeight="17.25" customHeight="1" x14ac:dyDescent="0.25"/>
  <cols>
    <col min="1" max="1" width="2.25" customWidth="1"/>
    <col min="2" max="2" width="35.875" customWidth="1"/>
    <col min="3" max="3" width="2.875" customWidth="1"/>
    <col min="4" max="4" width="9.375" customWidth="1"/>
    <col min="5" max="16" width="9.625" customWidth="1"/>
    <col min="17" max="17" width="2.875" customWidth="1"/>
    <col min="18" max="18" width="9.5" customWidth="1"/>
    <col min="22" max="22" width="9.25" bestFit="1" customWidth="1"/>
  </cols>
  <sheetData>
    <row r="1" spans="2:19" ht="72" customHeight="1" thickBot="1" x14ac:dyDescent="0.3">
      <c r="B1" s="76" t="s">
        <v>28</v>
      </c>
      <c r="C1" s="7"/>
      <c r="D1" s="94" t="s">
        <v>56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7"/>
    </row>
    <row r="2" spans="2:19" ht="22.5" customHeight="1" thickTop="1" x14ac:dyDescent="0.3">
      <c r="B2" s="75" t="s">
        <v>52</v>
      </c>
      <c r="Q2" s="26"/>
    </row>
    <row r="3" spans="2:19" ht="25.5" customHeight="1" x14ac:dyDescent="0.35">
      <c r="B3" s="37"/>
      <c r="D3" s="57"/>
      <c r="E3" s="35" t="str">
        <f>UPPER(TEXT(RegnskapsårStartDato,"mmm"))</f>
        <v>JAN</v>
      </c>
      <c r="F3" s="35" t="str">
        <f>UPPER(TEXT(EOMONTH(RegnskapsårStartDato,1),"mmm"))</f>
        <v>FEB</v>
      </c>
      <c r="G3" s="35" t="str">
        <f>UPPER(TEXT(EOMONTH(RegnskapsårStartDato,2),"mmm"))</f>
        <v>MAR</v>
      </c>
      <c r="H3" s="35" t="str">
        <f>UPPER(TEXT(EOMONTH(RegnskapsårStartDato,3),"mmm"))</f>
        <v>APR</v>
      </c>
      <c r="I3" s="35" t="str">
        <f>UPPER(TEXT(EOMONTH(RegnskapsårStartDato,4),"mmm"))</f>
        <v>MAI</v>
      </c>
      <c r="J3" s="35" t="str">
        <f>UPPER(TEXT(EOMONTH(RegnskapsårStartDato,5),"mmm"))</f>
        <v>JUN</v>
      </c>
      <c r="K3" s="35" t="str">
        <f>UPPER(TEXT(EOMONTH(RegnskapsårStartDato,6),"mmm"))</f>
        <v>JUL</v>
      </c>
      <c r="L3" s="35" t="str">
        <f>UPPER(TEXT(EOMONTH(RegnskapsårStartDato,7),"mmm"))</f>
        <v>AUG</v>
      </c>
      <c r="M3" s="35" t="str">
        <f>UPPER(TEXT(EOMONTH(RegnskapsårStartDato,8),"mmm"))</f>
        <v>SEP</v>
      </c>
      <c r="N3" s="35" t="str">
        <f>UPPER(TEXT(EOMONTH(RegnskapsårStartDato,9),"mmm"))</f>
        <v>OKT</v>
      </c>
      <c r="O3" s="35" t="str">
        <f>UPPER(TEXT(EOMONTH(RegnskapsårStartDato,10),"mmm"))</f>
        <v>NOV</v>
      </c>
      <c r="P3" s="35" t="str">
        <f>UPPER(TEXT(EOMONTH(RegnskapsårStartDato,11),"mmm"))</f>
        <v>DES</v>
      </c>
      <c r="Q3" s="18"/>
      <c r="R3" s="13" t="s">
        <v>1</v>
      </c>
      <c r="S3" s="2"/>
    </row>
    <row r="4" spans="2:19" ht="12.75" customHeight="1" thickBot="1" x14ac:dyDescent="0.3">
      <c r="B4" s="77"/>
      <c r="D4" s="14"/>
      <c r="E4" s="32">
        <f>RegnskapsårStartDato</f>
        <v>0</v>
      </c>
      <c r="F4" s="32">
        <f t="shared" ref="F4" si="0">EOMONTH(E4,0)+DAY(RegnskapsårStartDato)</f>
        <v>31</v>
      </c>
      <c r="G4" s="32">
        <f t="shared" ref="G4" si="1">EOMONTH(F4,0)+DAY(RegnskapsårStartDato)</f>
        <v>31</v>
      </c>
      <c r="H4" s="32">
        <f t="shared" ref="H4" si="2">EOMONTH(G4,0)+DAY(RegnskapsårStartDato)</f>
        <v>31</v>
      </c>
      <c r="I4" s="32">
        <f t="shared" ref="I4" si="3">EOMONTH(H4,0)+DAY(RegnskapsårStartDato)</f>
        <v>31</v>
      </c>
      <c r="J4" s="32">
        <f t="shared" ref="J4" si="4">EOMONTH(I4,0)+DAY(RegnskapsårStartDato)</f>
        <v>31</v>
      </c>
      <c r="K4" s="32">
        <f t="shared" ref="K4" si="5">EOMONTH(J4,0)+DAY(RegnskapsårStartDato)</f>
        <v>31</v>
      </c>
      <c r="L4" s="32">
        <f t="shared" ref="L4" si="6">EOMONTH(K4,0)+DAY(RegnskapsårStartDato)</f>
        <v>31</v>
      </c>
      <c r="M4" s="32">
        <f t="shared" ref="M4" si="7">EOMONTH(L4,0)+DAY(RegnskapsårStartDato)</f>
        <v>31</v>
      </c>
      <c r="N4" s="32">
        <f t="shared" ref="N4" si="8">EOMONTH(M4,0)+DAY(RegnskapsårStartDato)</f>
        <v>31</v>
      </c>
      <c r="O4" s="32">
        <f t="shared" ref="O4" si="9">EOMONTH(N4,0)+DAY(RegnskapsårStartDato)</f>
        <v>31</v>
      </c>
      <c r="P4" s="32">
        <f t="shared" ref="P4" si="10">EOMONTH(O4,0)+DAY(RegnskapsårStartDato)</f>
        <v>31</v>
      </c>
      <c r="Q4" s="19"/>
      <c r="R4" s="12"/>
      <c r="S4" s="2"/>
    </row>
    <row r="5" spans="2:19" ht="17.25" customHeight="1" thickTop="1" x14ac:dyDescent="0.25">
      <c r="B5" s="3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20"/>
      <c r="R5" s="6"/>
      <c r="S5" s="2"/>
    </row>
    <row r="6" spans="2:19" ht="17.25" customHeight="1" thickBot="1" x14ac:dyDescent="0.3">
      <c r="B6" s="33" t="s">
        <v>37</v>
      </c>
      <c r="D6" s="34"/>
      <c r="E6" s="34">
        <f>D39</f>
        <v>62628</v>
      </c>
      <c r="F6" s="34">
        <f t="shared" ref="F6:P6" si="11">E39</f>
        <v>6912.8000000000029</v>
      </c>
      <c r="G6" s="34">
        <f t="shared" si="11"/>
        <v>22524.300000000003</v>
      </c>
      <c r="H6" s="34">
        <f t="shared" si="11"/>
        <v>17357.210000000003</v>
      </c>
      <c r="I6" s="34">
        <f t="shared" si="11"/>
        <v>2464.3800000000047</v>
      </c>
      <c r="J6" s="34">
        <f t="shared" si="11"/>
        <v>12343.050000000005</v>
      </c>
      <c r="K6" s="34">
        <f t="shared" si="11"/>
        <v>68620.200000000012</v>
      </c>
      <c r="L6" s="34">
        <f t="shared" si="11"/>
        <v>84001.930000000008</v>
      </c>
      <c r="M6" s="34">
        <f t="shared" si="11"/>
        <v>63884.430000000008</v>
      </c>
      <c r="N6" s="34">
        <f t="shared" si="11"/>
        <v>65327.360000000008</v>
      </c>
      <c r="O6" s="34">
        <f t="shared" si="11"/>
        <v>10487.360000000008</v>
      </c>
      <c r="P6" s="34">
        <f t="shared" si="11"/>
        <v>8802.4000000000087</v>
      </c>
      <c r="Q6" s="21"/>
      <c r="R6" s="34"/>
      <c r="S6" s="31"/>
    </row>
    <row r="7" spans="2:19" ht="17.25" customHeight="1" x14ac:dyDescent="0.25">
      <c r="Q7" s="16"/>
    </row>
    <row r="8" spans="2:19" ht="17.25" customHeight="1" x14ac:dyDescent="0.25">
      <c r="B8" s="27" t="s">
        <v>2</v>
      </c>
      <c r="D8" s="96" t="s">
        <v>26</v>
      </c>
      <c r="Q8" s="16"/>
      <c r="S8" s="96" t="s">
        <v>41</v>
      </c>
    </row>
    <row r="9" spans="2:19" ht="17.25" customHeight="1" x14ac:dyDescent="0.25">
      <c r="D9" s="96"/>
      <c r="S9" s="96"/>
    </row>
    <row r="10" spans="2:19" ht="17.25" customHeight="1" x14ac:dyDescent="0.25">
      <c r="B10" s="40" t="s">
        <v>6</v>
      </c>
      <c r="C10" s="16"/>
      <c r="D10" s="38"/>
      <c r="E10" s="38">
        <v>2300</v>
      </c>
      <c r="F10" s="38">
        <v>2300</v>
      </c>
      <c r="G10" s="38">
        <v>2300</v>
      </c>
      <c r="H10" s="38">
        <v>2300</v>
      </c>
      <c r="I10" s="38">
        <v>2300</v>
      </c>
      <c r="J10" s="38">
        <v>2300</v>
      </c>
      <c r="K10" s="38">
        <v>2500</v>
      </c>
      <c r="L10" s="38">
        <v>2500</v>
      </c>
      <c r="M10" s="38">
        <v>2500</v>
      </c>
      <c r="N10" s="38">
        <v>2500</v>
      </c>
      <c r="O10" s="38"/>
      <c r="P10" s="38">
        <v>2500</v>
      </c>
      <c r="Q10" s="22"/>
      <c r="R10" s="8">
        <f>SUM(Kontantinnbetalinger[[#This Row],[Periode 1]:[Periode 12]])</f>
        <v>26300</v>
      </c>
      <c r="S10" s="53">
        <f>Kontantinnbetalinger[[#This Row],[Totalt]]+Kontantinnbetalinger[[#This Row],[Periode 0]]-28800</f>
        <v>-2500</v>
      </c>
    </row>
    <row r="11" spans="2:19" ht="17.25" customHeight="1" x14ac:dyDescent="0.25">
      <c r="B11" s="40" t="s">
        <v>7</v>
      </c>
      <c r="C11" s="16"/>
      <c r="D11" s="38"/>
      <c r="E11" s="38">
        <v>2300</v>
      </c>
      <c r="F11" s="38">
        <v>2300</v>
      </c>
      <c r="G11" s="38">
        <v>2300</v>
      </c>
      <c r="H11" s="38">
        <v>2300</v>
      </c>
      <c r="I11" s="38">
        <v>2300</v>
      </c>
      <c r="J11" s="38">
        <v>2300</v>
      </c>
      <c r="K11" s="38">
        <v>2500</v>
      </c>
      <c r="L11" s="38">
        <v>2500</v>
      </c>
      <c r="M11" s="38">
        <v>2500</v>
      </c>
      <c r="N11" s="38">
        <v>2500</v>
      </c>
      <c r="O11" s="38">
        <v>2500</v>
      </c>
      <c r="P11" s="38">
        <v>2500</v>
      </c>
      <c r="Q11" s="22"/>
      <c r="R11" s="8">
        <f>SUM(Kontantinnbetalinger[[#This Row],[Periode 1]:[Periode 12]])</f>
        <v>28800</v>
      </c>
      <c r="S11" s="92">
        <f>Kontantinnbetalinger[[#This Row],[Totalt]]+Kontantinnbetalinger[[#This Row],[Periode 0]]-28800</f>
        <v>0</v>
      </c>
    </row>
    <row r="12" spans="2:19" ht="17.25" customHeight="1" x14ac:dyDescent="0.25">
      <c r="B12" s="40" t="s">
        <v>9</v>
      </c>
      <c r="C12" s="16"/>
      <c r="D12" s="38"/>
      <c r="E12" s="38">
        <v>2300</v>
      </c>
      <c r="F12" s="38">
        <v>2300</v>
      </c>
      <c r="G12" s="38">
        <v>2300</v>
      </c>
      <c r="H12" s="38">
        <v>2300</v>
      </c>
      <c r="I12" s="38">
        <v>2300</v>
      </c>
      <c r="J12" s="38">
        <v>2300</v>
      </c>
      <c r="K12" s="38">
        <v>2500</v>
      </c>
      <c r="L12" s="38">
        <v>2500</v>
      </c>
      <c r="M12" s="38">
        <v>2500</v>
      </c>
      <c r="N12" s="38">
        <v>2500</v>
      </c>
      <c r="O12" s="38">
        <v>2500</v>
      </c>
      <c r="P12" s="38"/>
      <c r="Q12" s="22"/>
      <c r="R12" s="8">
        <f>SUM(Kontantinnbetalinger[[#This Row],[Periode 1]:[Periode 12]])</f>
        <v>26300</v>
      </c>
      <c r="S12" s="53">
        <f>Kontantinnbetalinger[[#This Row],[Totalt]]+Kontantinnbetalinger[[#This Row],[Periode 0]]-28800</f>
        <v>-2500</v>
      </c>
    </row>
    <row r="13" spans="2:19" ht="17.25" customHeight="1" x14ac:dyDescent="0.25">
      <c r="B13" s="40" t="s">
        <v>8</v>
      </c>
      <c r="C13" s="16"/>
      <c r="D13" s="38"/>
      <c r="E13" s="38">
        <v>2300</v>
      </c>
      <c r="F13" s="38">
        <v>2300</v>
      </c>
      <c r="G13" s="38">
        <v>2300</v>
      </c>
      <c r="H13" s="38">
        <v>2300</v>
      </c>
      <c r="I13" s="38">
        <v>2300</v>
      </c>
      <c r="J13" s="38"/>
      <c r="K13" s="38">
        <v>4800</v>
      </c>
      <c r="L13" s="38">
        <v>2500</v>
      </c>
      <c r="M13" s="38">
        <v>4800</v>
      </c>
      <c r="N13" s="38">
        <v>2500</v>
      </c>
      <c r="O13" s="38"/>
      <c r="P13" s="38">
        <f>4800+238+362</f>
        <v>5400</v>
      </c>
      <c r="Q13" s="22"/>
      <c r="R13" s="8">
        <f>SUM(Kontantinnbetalinger[[#This Row],[Periode 1]:[Periode 12]])</f>
        <v>31500</v>
      </c>
      <c r="S13" s="92">
        <f>Kontantinnbetalinger[[#This Row],[Totalt]]+Kontantinnbetalinger[[#This Row],[Periode 0]]-28800</f>
        <v>2700</v>
      </c>
    </row>
    <row r="14" spans="2:19" ht="17.25" customHeight="1" x14ac:dyDescent="0.25">
      <c r="B14" s="40" t="s">
        <v>48</v>
      </c>
      <c r="C14" s="16"/>
      <c r="D14" s="38"/>
      <c r="E14" s="38">
        <v>2300</v>
      </c>
      <c r="F14" s="38">
        <v>2300</v>
      </c>
      <c r="G14" s="38">
        <v>2300</v>
      </c>
      <c r="H14" s="38">
        <v>2300</v>
      </c>
      <c r="I14" s="38">
        <v>2300</v>
      </c>
      <c r="J14" s="38">
        <v>2300</v>
      </c>
      <c r="K14" s="38">
        <v>2500</v>
      </c>
      <c r="L14" s="38">
        <v>2500</v>
      </c>
      <c r="M14" s="38">
        <v>2500</v>
      </c>
      <c r="N14" s="38">
        <v>2500</v>
      </c>
      <c r="O14" s="38">
        <v>2500</v>
      </c>
      <c r="P14" s="38">
        <v>2500</v>
      </c>
      <c r="Q14" s="22"/>
      <c r="R14" s="8">
        <f>SUM(Kontantinnbetalinger[[#This Row],[Periode 1]:[Periode 12]])</f>
        <v>28800</v>
      </c>
      <c r="S14" s="92">
        <f>Kontantinnbetalinger[[#This Row],[Totalt]]+Kontantinnbetalinger[[#This Row],[Periode 0]]-28800</f>
        <v>0</v>
      </c>
    </row>
    <row r="15" spans="2:19" ht="17.25" customHeight="1" x14ac:dyDescent="0.25">
      <c r="B15" s="40" t="s">
        <v>17</v>
      </c>
      <c r="C15" s="16"/>
      <c r="D15" s="38"/>
      <c r="E15" s="38">
        <v>2300</v>
      </c>
      <c r="F15" s="38">
        <v>2300</v>
      </c>
      <c r="G15" s="38"/>
      <c r="H15" s="38">
        <v>4600</v>
      </c>
      <c r="I15" s="38">
        <v>2300</v>
      </c>
      <c r="J15" s="38">
        <v>2300</v>
      </c>
      <c r="K15" s="38">
        <v>2500</v>
      </c>
      <c r="L15" s="38">
        <v>2500</v>
      </c>
      <c r="M15" s="38">
        <v>2500</v>
      </c>
      <c r="N15" s="38">
        <v>2500</v>
      </c>
      <c r="O15" s="38">
        <v>2500</v>
      </c>
      <c r="P15" s="38">
        <v>2500</v>
      </c>
      <c r="Q15" s="22"/>
      <c r="R15" s="8">
        <f>SUM(Kontantinnbetalinger[[#This Row],[Periode 1]:[Periode 12]])</f>
        <v>28800</v>
      </c>
      <c r="S15" s="92">
        <f>Kontantinnbetalinger[[#This Row],[Totalt]]+Kontantinnbetalinger[[#This Row],[Periode 0]]-28800</f>
        <v>0</v>
      </c>
    </row>
    <row r="16" spans="2:19" ht="17.25" customHeight="1" x14ac:dyDescent="0.25">
      <c r="B16" s="40" t="s">
        <v>16</v>
      </c>
      <c r="C16" s="16"/>
      <c r="D16" s="54">
        <v>500</v>
      </c>
      <c r="E16" s="38">
        <v>2300</v>
      </c>
      <c r="F16" s="38">
        <v>2300</v>
      </c>
      <c r="G16" s="38">
        <v>2300</v>
      </c>
      <c r="H16" s="38"/>
      <c r="I16" s="38">
        <v>2300</v>
      </c>
      <c r="J16" s="38">
        <v>4800</v>
      </c>
      <c r="K16" s="38">
        <v>3750</v>
      </c>
      <c r="L16" s="38">
        <v>1250</v>
      </c>
      <c r="M16" s="38">
        <v>2500</v>
      </c>
      <c r="N16" s="38">
        <v>2500</v>
      </c>
      <c r="O16" s="38">
        <v>2500</v>
      </c>
      <c r="P16" s="38">
        <v>2500</v>
      </c>
      <c r="Q16" s="22"/>
      <c r="R16" s="8">
        <f>SUM(Kontantinnbetalinger[[#This Row],[Periode 1]:[Periode 12]])</f>
        <v>29000</v>
      </c>
      <c r="S16" s="92">
        <f>Kontantinnbetalinger[[#This Row],[Totalt]]+Kontantinnbetalinger[[#This Row],[Periode 0]]-28800</f>
        <v>700</v>
      </c>
    </row>
    <row r="17" spans="2:20" ht="17.25" customHeight="1" x14ac:dyDescent="0.25">
      <c r="B17" s="40" t="s">
        <v>5</v>
      </c>
      <c r="C17" s="16"/>
      <c r="D17" s="54">
        <v>300</v>
      </c>
      <c r="E17" s="38">
        <v>2300</v>
      </c>
      <c r="F17" s="38">
        <v>2300</v>
      </c>
      <c r="G17" s="38">
        <v>2300</v>
      </c>
      <c r="H17" s="38">
        <v>2300</v>
      </c>
      <c r="I17" s="38">
        <v>2300</v>
      </c>
      <c r="J17" s="38">
        <v>2300</v>
      </c>
      <c r="K17" s="38">
        <v>2500</v>
      </c>
      <c r="L17" s="38">
        <v>2500</v>
      </c>
      <c r="M17" s="38">
        <v>2500</v>
      </c>
      <c r="N17" s="38">
        <v>2500</v>
      </c>
      <c r="O17" s="38">
        <v>2500</v>
      </c>
      <c r="P17" s="38">
        <v>2500</v>
      </c>
      <c r="Q17" s="22"/>
      <c r="R17" s="8">
        <f>SUM(Kontantinnbetalinger[[#This Row],[Periode 1]:[Periode 12]])</f>
        <v>28800</v>
      </c>
      <c r="S17" s="92">
        <f>Kontantinnbetalinger[[#This Row],[Totalt]]+Kontantinnbetalinger[[#This Row],[Periode 0]]-28800</f>
        <v>300</v>
      </c>
    </row>
    <row r="18" spans="2:20" ht="17.25" customHeight="1" x14ac:dyDescent="0.25">
      <c r="B18" s="40"/>
      <c r="C18" s="1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22"/>
      <c r="R18" s="8">
        <f>SUM(Kontantinnbetalinger[[#This Row],[Periode 1]:[Periode 12]])</f>
        <v>0</v>
      </c>
      <c r="S18" s="53"/>
    </row>
    <row r="19" spans="2:20" ht="17.25" customHeight="1" x14ac:dyDescent="0.25">
      <c r="B19" s="41" t="s">
        <v>55</v>
      </c>
      <c r="C19" s="16"/>
      <c r="D19" s="39"/>
      <c r="E19" s="39"/>
      <c r="F19" s="39"/>
      <c r="G19" s="39"/>
      <c r="H19" s="39"/>
      <c r="I19" s="39"/>
      <c r="J19" s="39"/>
      <c r="K19" s="39"/>
      <c r="L19" s="39">
        <v>-25000</v>
      </c>
      <c r="M19" s="39"/>
      <c r="N19" s="39"/>
      <c r="O19" s="39">
        <v>31975</v>
      </c>
      <c r="P19" s="39"/>
      <c r="Q19" s="22"/>
      <c r="R19" s="90">
        <f>SUM(Kontantinnbetalinger[[#This Row],[Periode 1]:[Periode 12]])</f>
        <v>6975</v>
      </c>
      <c r="S19" s="91" t="s">
        <v>49</v>
      </c>
      <c r="T19" s="71"/>
    </row>
    <row r="20" spans="2:20" s="44" customFormat="1" ht="17.25" customHeight="1" x14ac:dyDescent="0.25">
      <c r="B20" s="40" t="s">
        <v>34</v>
      </c>
      <c r="C20" s="16"/>
      <c r="D20" s="39"/>
      <c r="E20" s="39"/>
      <c r="F20" s="39"/>
      <c r="G20" s="39"/>
      <c r="H20" s="39"/>
      <c r="I20" s="39"/>
      <c r="J20" s="38">
        <v>44041.15</v>
      </c>
      <c r="K20" s="38">
        <f>15000</f>
        <v>15000</v>
      </c>
      <c r="L20" s="39"/>
      <c r="M20" s="39"/>
      <c r="N20" s="39">
        <v>-60102</v>
      </c>
      <c r="O20" s="39"/>
      <c r="P20" s="39">
        <v>1061</v>
      </c>
      <c r="Q20" s="25"/>
      <c r="R20" s="8">
        <f>SUM(Kontantinnbetalinger[[#This Row],[Periode 1]:[Periode 12]])</f>
        <v>0.15000000000145519</v>
      </c>
      <c r="S20" s="72" t="s">
        <v>40</v>
      </c>
      <c r="T20" s="70"/>
    </row>
    <row r="21" spans="2:20" ht="17.25" customHeight="1" thickBot="1" x14ac:dyDescent="0.3">
      <c r="B21" s="74" t="s">
        <v>31</v>
      </c>
      <c r="C21" s="42"/>
      <c r="D21" s="45"/>
      <c r="E21" s="45">
        <f>SUBTOTAL(109,Kontantinnbetalinger[Periode 1])</f>
        <v>18400</v>
      </c>
      <c r="F21" s="45">
        <f>SUBTOTAL(109,Kontantinnbetalinger[Periode 2])</f>
        <v>18400</v>
      </c>
      <c r="G21" s="45">
        <f>SUBTOTAL(109,Kontantinnbetalinger[Periode 3])</f>
        <v>16100</v>
      </c>
      <c r="H21" s="45">
        <f>SUBTOTAL(109,Kontantinnbetalinger[Periode 4])</f>
        <v>18400</v>
      </c>
      <c r="I21" s="45">
        <f>SUBTOTAL(109,Kontantinnbetalinger[Periode 5])</f>
        <v>18400</v>
      </c>
      <c r="J21" s="45">
        <f>SUBTOTAL(109,Kontantinnbetalinger[Periode 6])</f>
        <v>62641.15</v>
      </c>
      <c r="K21" s="45">
        <f>SUBTOTAL(109,Kontantinnbetalinger[Periode 7])</f>
        <v>38550</v>
      </c>
      <c r="L21" s="45">
        <f>SUBTOTAL(109,Kontantinnbetalinger[Periode 8])</f>
        <v>-6250</v>
      </c>
      <c r="M21" s="45">
        <f>SUBTOTAL(109,Kontantinnbetalinger[Periode 9])</f>
        <v>22300</v>
      </c>
      <c r="N21" s="45">
        <f>SUBTOTAL(109,Kontantinnbetalinger[Periode 10])</f>
        <v>-40102</v>
      </c>
      <c r="O21" s="45">
        <f>SUBTOTAL(109,Kontantinnbetalinger[Periode 11])</f>
        <v>46975</v>
      </c>
      <c r="P21" s="45">
        <f>SUBTOTAL(109,Kontantinnbetalinger[Periode 12])</f>
        <v>21461</v>
      </c>
      <c r="Q21" s="43"/>
      <c r="R21" s="73">
        <f>SUM(Kontantinnbetalinger[[#Totals],[Periode 1]:[Periode 12]])</f>
        <v>235275.15</v>
      </c>
      <c r="T21" s="44"/>
    </row>
    <row r="22" spans="2:20" ht="17.25" customHeight="1" thickTop="1" thickBot="1" x14ac:dyDescent="0.3">
      <c r="B22" s="36" t="s">
        <v>30</v>
      </c>
      <c r="C22" s="15"/>
      <c r="D22" s="29"/>
      <c r="E22" s="29">
        <f>E6+SUM(Kontantinnbetalinger[Periode 1])</f>
        <v>81028</v>
      </c>
      <c r="F22" s="29">
        <f>F6+SUM(Kontantinnbetalinger[Periode 2])</f>
        <v>25312.800000000003</v>
      </c>
      <c r="G22" s="29">
        <f>G6+SUM(Kontantinnbetalinger[Periode 3])</f>
        <v>38624.300000000003</v>
      </c>
      <c r="H22" s="29">
        <f>H6+SUM(Kontantinnbetalinger[Periode 4])</f>
        <v>35757.210000000006</v>
      </c>
      <c r="I22" s="29">
        <f>I6+SUM(Kontantinnbetalinger[Periode 5])</f>
        <v>20864.380000000005</v>
      </c>
      <c r="J22" s="29">
        <f>J6+SUM(Kontantinnbetalinger[Periode 6])</f>
        <v>74984.200000000012</v>
      </c>
      <c r="K22" s="29">
        <f>K6+SUM(Kontantinnbetalinger[Periode 7])</f>
        <v>107170.20000000001</v>
      </c>
      <c r="L22" s="29">
        <f>L6+SUM(Kontantinnbetalinger[Periode 8])</f>
        <v>77751.930000000008</v>
      </c>
      <c r="M22" s="29">
        <f>M6+SUM(Kontantinnbetalinger[Periode 9])</f>
        <v>86184.430000000008</v>
      </c>
      <c r="N22" s="29">
        <f>N6+SUM(Kontantinnbetalinger[Periode 10])</f>
        <v>25225.360000000008</v>
      </c>
      <c r="O22" s="29">
        <f>O6+SUM(Kontantinnbetalinger[Periode 11])</f>
        <v>57462.360000000008</v>
      </c>
      <c r="P22" s="29">
        <f>P6+SUM(Kontantinnbetalinger[Periode 12])</f>
        <v>30263.400000000009</v>
      </c>
      <c r="Q22" s="23"/>
      <c r="R22" s="29"/>
      <c r="S22" s="30"/>
    </row>
    <row r="23" spans="2:20" ht="17.25" customHeight="1" x14ac:dyDescent="0.25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</row>
    <row r="24" spans="2:20" ht="17.25" customHeight="1" x14ac:dyDescent="0.3">
      <c r="B24" s="9" t="s">
        <v>3</v>
      </c>
      <c r="C24" s="16"/>
      <c r="Q24" s="16"/>
    </row>
    <row r="25" spans="2:20" ht="17.25" customHeight="1" x14ac:dyDescent="0.25">
      <c r="B25" s="41" t="s">
        <v>19</v>
      </c>
      <c r="C25" s="16"/>
      <c r="D25" s="39"/>
      <c r="E25" s="39"/>
      <c r="F25" s="39"/>
      <c r="G25" s="39"/>
      <c r="H25" s="39"/>
      <c r="I25" s="39"/>
      <c r="J25" s="39"/>
      <c r="K25" s="39">
        <v>754</v>
      </c>
      <c r="L25" s="39"/>
      <c r="M25" s="39">
        <v>16570</v>
      </c>
      <c r="N25" s="39"/>
      <c r="O25" s="39">
        <v>38500</v>
      </c>
      <c r="P25" s="39"/>
      <c r="Q25" s="24"/>
      <c r="R25" s="10">
        <f>SUM(KontanterUtbetalt[[#This Row],[Periode 0]:[Periode 12]])</f>
        <v>55824</v>
      </c>
      <c r="S25" s="1"/>
    </row>
    <row r="26" spans="2:20" ht="17.25" customHeight="1" x14ac:dyDescent="0.25">
      <c r="B26" s="41" t="s">
        <v>14</v>
      </c>
      <c r="C26" s="16"/>
      <c r="D26" s="39"/>
      <c r="E26" s="39"/>
      <c r="F26" s="39"/>
      <c r="G26" s="39"/>
      <c r="H26" s="39"/>
      <c r="I26" s="39"/>
      <c r="J26" s="39"/>
      <c r="K26" s="39"/>
      <c r="L26" s="39">
        <v>5036</v>
      </c>
      <c r="M26" s="39"/>
      <c r="N26" s="39"/>
      <c r="O26" s="39"/>
      <c r="P26" s="39"/>
      <c r="Q26" s="24"/>
      <c r="R26" s="10">
        <f>SUM(KontanterUtbetalt[[#This Row],[Periode 0]:[Periode 12]])</f>
        <v>5036</v>
      </c>
      <c r="S26" s="1"/>
    </row>
    <row r="27" spans="2:20" ht="17.25" customHeight="1" x14ac:dyDescent="0.25">
      <c r="B27" s="41" t="s">
        <v>15</v>
      </c>
      <c r="C27" s="16"/>
      <c r="D27" s="39"/>
      <c r="E27" s="39"/>
      <c r="F27" s="39"/>
      <c r="G27" s="39"/>
      <c r="H27" s="39"/>
      <c r="I27" s="39"/>
      <c r="J27" s="39"/>
      <c r="K27" s="39">
        <v>10849</v>
      </c>
      <c r="L27" s="39"/>
      <c r="M27" s="39"/>
      <c r="N27" s="39"/>
      <c r="O27" s="39"/>
      <c r="P27" s="39">
        <v>350</v>
      </c>
      <c r="Q27" s="24"/>
      <c r="R27" s="10">
        <f>SUM(KontanterUtbetalt[[#This Row],[Periode 0]:[Periode 12]])</f>
        <v>11199</v>
      </c>
      <c r="S27" s="1"/>
    </row>
    <row r="28" spans="2:20" ht="17.25" customHeight="1" x14ac:dyDescent="0.25">
      <c r="B28" s="41" t="s">
        <v>25</v>
      </c>
      <c r="C28" s="16"/>
      <c r="D28" s="39"/>
      <c r="E28" s="39"/>
      <c r="F28" s="39"/>
      <c r="G28" s="39">
        <v>11875</v>
      </c>
      <c r="H28" s="39">
        <f>5500+4125</f>
        <v>9625</v>
      </c>
      <c r="I28" s="39"/>
      <c r="J28" s="39">
        <v>2062.5</v>
      </c>
      <c r="K28" s="39"/>
      <c r="L28" s="39"/>
      <c r="M28" s="39"/>
      <c r="N28" s="39"/>
      <c r="O28" s="39"/>
      <c r="P28" s="39"/>
      <c r="Q28" s="24"/>
      <c r="R28" s="10">
        <f>SUM(KontanterUtbetalt[[#This Row],[Periode 0]:[Periode 12]])</f>
        <v>23562.5</v>
      </c>
      <c r="S28" s="1"/>
    </row>
    <row r="29" spans="2:20" ht="17.25" customHeight="1" x14ac:dyDescent="0.25">
      <c r="B29" s="41" t="s">
        <v>35</v>
      </c>
      <c r="C29" s="16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>
        <f>600+111</f>
        <v>711</v>
      </c>
      <c r="Q29" s="58"/>
      <c r="R29" s="10">
        <f>SUM(KontanterUtbetalt[[#This Row],[Periode 0]:[Periode 12]])</f>
        <v>711</v>
      </c>
      <c r="S29" s="59"/>
    </row>
    <row r="30" spans="2:20" ht="17.25" customHeight="1" x14ac:dyDescent="0.25">
      <c r="B30" s="41" t="s">
        <v>27</v>
      </c>
      <c r="C30" s="16"/>
      <c r="D30" s="39"/>
      <c r="E30" s="39">
        <v>715.86</v>
      </c>
      <c r="F30" s="39"/>
      <c r="G30" s="39">
        <v>529.09</v>
      </c>
      <c r="H30" s="39"/>
      <c r="I30" s="39">
        <v>673.83</v>
      </c>
      <c r="J30" s="39"/>
      <c r="K30" s="39">
        <v>634.27</v>
      </c>
      <c r="L30" s="39"/>
      <c r="M30" s="39">
        <v>1258.57</v>
      </c>
      <c r="N30" s="39"/>
      <c r="O30" s="39">
        <v>1300.5899999999999</v>
      </c>
      <c r="P30" s="39"/>
      <c r="Q30" s="24"/>
      <c r="R30" s="10">
        <f>SUM(KontanterUtbetalt[[#This Row],[Periode 0]:[Periode 12]])</f>
        <v>5112.21</v>
      </c>
      <c r="S30" s="1"/>
    </row>
    <row r="31" spans="2:20" ht="17.25" customHeight="1" x14ac:dyDescent="0.25">
      <c r="B31" s="40" t="s">
        <v>13</v>
      </c>
      <c r="C31" s="16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60"/>
      <c r="R31" s="10">
        <f>SUM(KontanterUtbetalt[[#This Row],[Periode 0]:[Periode 12]])</f>
        <v>0</v>
      </c>
      <c r="S31" s="1"/>
    </row>
    <row r="32" spans="2:20" ht="17.25" customHeight="1" x14ac:dyDescent="0.25">
      <c r="B32" s="41" t="s">
        <v>18</v>
      </c>
      <c r="C32" s="16"/>
      <c r="D32" s="39"/>
      <c r="E32" s="39">
        <v>990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24"/>
      <c r="R32" s="10">
        <f>SUM(KontanterUtbetalt[[#This Row],[Periode 0]:[Periode 12]])</f>
        <v>990</v>
      </c>
      <c r="S32" s="1"/>
    </row>
    <row r="33" spans="2:22" ht="17.25" customHeight="1" x14ac:dyDescent="0.25">
      <c r="B33" s="41" t="s">
        <v>39</v>
      </c>
      <c r="C33" s="16"/>
      <c r="D33" s="39"/>
      <c r="E33" s="69">
        <v>69610.34</v>
      </c>
      <c r="F33" s="39"/>
      <c r="G33" s="39">
        <v>5943</v>
      </c>
      <c r="H33" s="51">
        <f>7537.35+6009.98+6013+1059.01-6401.99+6504.48</f>
        <v>20721.830000000002</v>
      </c>
      <c r="I33" s="39">
        <f>5904-984</f>
        <v>4920</v>
      </c>
      <c r="J33" s="39">
        <v>5904</v>
      </c>
      <c r="K33" s="39">
        <f>5904+2096</f>
        <v>8000</v>
      </c>
      <c r="L33" s="39">
        <v>5904</v>
      </c>
      <c r="M33" s="39"/>
      <c r="N33" s="39">
        <v>11808</v>
      </c>
      <c r="O33" s="39">
        <v>5927.37</v>
      </c>
      <c r="P33" s="39">
        <v>5904</v>
      </c>
      <c r="Q33" s="24"/>
      <c r="R33" s="10">
        <f>SUM(KontanterUtbetalt[[#This Row],[Periode 0]:[Periode 12]])</f>
        <v>144642.53999999998</v>
      </c>
      <c r="S33" s="1"/>
    </row>
    <row r="34" spans="2:22" ht="17.25" customHeight="1" x14ac:dyDescent="0.25">
      <c r="B34" s="41" t="s">
        <v>11</v>
      </c>
      <c r="C34" s="16"/>
      <c r="D34" s="39"/>
      <c r="E34" s="39">
        <v>2785</v>
      </c>
      <c r="F34" s="39">
        <v>2785</v>
      </c>
      <c r="G34" s="39">
        <v>2785</v>
      </c>
      <c r="H34" s="39">
        <v>2924</v>
      </c>
      <c r="I34" s="39">
        <v>2918</v>
      </c>
      <c r="J34" s="68">
        <f>2918-4630</f>
        <v>-1712</v>
      </c>
      <c r="K34" s="39">
        <v>2918</v>
      </c>
      <c r="L34" s="39">
        <v>2918</v>
      </c>
      <c r="M34" s="39">
        <v>2918</v>
      </c>
      <c r="N34" s="39">
        <v>2918</v>
      </c>
      <c r="O34" s="39">
        <v>2918</v>
      </c>
      <c r="P34" s="39">
        <v>2918</v>
      </c>
      <c r="Q34" s="24"/>
      <c r="R34" s="10">
        <f>SUM(KontanterUtbetalt[[#This Row],[Periode 0]:[Periode 12]])</f>
        <v>29993</v>
      </c>
      <c r="S34" s="1"/>
    </row>
    <row r="35" spans="2:22" ht="17.25" customHeight="1" x14ac:dyDescent="0.25">
      <c r="B35" s="41" t="s">
        <v>12</v>
      </c>
      <c r="C35" s="16"/>
      <c r="D35" s="39"/>
      <c r="E35" s="39">
        <v>14</v>
      </c>
      <c r="F35" s="39">
        <v>3.5</v>
      </c>
      <c r="G35" s="39">
        <v>135</v>
      </c>
      <c r="H35" s="39">
        <v>22</v>
      </c>
      <c r="I35" s="39">
        <v>9.5</v>
      </c>
      <c r="J35" s="39">
        <v>109.5</v>
      </c>
      <c r="K35" s="39">
        <v>13</v>
      </c>
      <c r="L35" s="39">
        <v>9.5</v>
      </c>
      <c r="M35" s="39">
        <v>110.5</v>
      </c>
      <c r="N35" s="39">
        <v>12</v>
      </c>
      <c r="O35" s="39">
        <v>14</v>
      </c>
      <c r="P35" s="39">
        <f>106-16</f>
        <v>90</v>
      </c>
      <c r="Q35" s="24"/>
      <c r="R35" s="10">
        <f>SUM(KontanterUtbetalt[[#This Row],[Periode 0]:[Periode 12]])</f>
        <v>542.5</v>
      </c>
      <c r="S35" s="1"/>
    </row>
    <row r="36" spans="2:22" ht="17.25" customHeight="1" x14ac:dyDescent="0.25">
      <c r="B36" s="41" t="s">
        <v>42</v>
      </c>
      <c r="C36" s="16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>
        <f>362+238</f>
        <v>600</v>
      </c>
      <c r="Q36" s="24"/>
      <c r="R36" s="10">
        <f>SUM(KontanterUtbetalt[[#This Row],[Periode 0]:[Periode 12]])</f>
        <v>600</v>
      </c>
      <c r="S36" s="1"/>
    </row>
    <row r="37" spans="2:22" ht="17.25" customHeight="1" x14ac:dyDescent="0.25">
      <c r="B37" s="74" t="s">
        <v>32</v>
      </c>
      <c r="C37" s="16"/>
      <c r="D37" s="50"/>
      <c r="E37" s="50">
        <f>SUBTOTAL(109,KontanterUtbetalt[Periode 1])</f>
        <v>74115.199999999997</v>
      </c>
      <c r="F37" s="50">
        <f>SUBTOTAL(109,KontanterUtbetalt[Periode 2])</f>
        <v>2788.5</v>
      </c>
      <c r="G37" s="50">
        <f>SUBTOTAL(109,KontanterUtbetalt[Periode 3])</f>
        <v>21267.09</v>
      </c>
      <c r="H37" s="50">
        <f>SUBTOTAL(109,KontanterUtbetalt[Periode 4])</f>
        <v>33292.83</v>
      </c>
      <c r="I37" s="50">
        <f>SUBTOTAL(109,KontanterUtbetalt[Periode 5])</f>
        <v>8521.33</v>
      </c>
      <c r="J37" s="50">
        <f>SUBTOTAL(109,KontanterUtbetalt[Periode 6])</f>
        <v>6364</v>
      </c>
      <c r="K37" s="50">
        <f>SUBTOTAL(109,KontanterUtbetalt[Periode 7])</f>
        <v>23168.27</v>
      </c>
      <c r="L37" s="50">
        <f>SUBTOTAL(109,KontanterUtbetalt[Periode 8])</f>
        <v>13867.5</v>
      </c>
      <c r="M37" s="50">
        <f>SUBTOTAL(109,KontanterUtbetalt[Periode 9])</f>
        <v>20857.07</v>
      </c>
      <c r="N37" s="50">
        <f>SUBTOTAL(109,KontanterUtbetalt[Periode 10])</f>
        <v>14738</v>
      </c>
      <c r="O37" s="50">
        <f>SUBTOTAL(109,KontanterUtbetalt[Periode 11])</f>
        <v>48659.96</v>
      </c>
      <c r="P37" s="50">
        <f>SUBTOTAL(109,KontanterUtbetalt[Periode 12])</f>
        <v>10573</v>
      </c>
      <c r="Q37" s="49"/>
      <c r="R37" s="73">
        <f>KontanterUtbetalt[[#Totals],[Periode 1]]+KontanterUtbetalt[[#Totals],[Periode 2]]+KontanterUtbetalt[[#Totals],[Periode 3]]+KontanterUtbetalt[[#Totals],[Periode 4]]+KontanterUtbetalt[[#Totals],[Periode 5]]+KontanterUtbetalt[[#Totals],[Periode 6]]+KontanterUtbetalt[[#Totals],[Periode 7]]+KontanterUtbetalt[[#Totals],[Periode 8]]+KontanterUtbetalt[[#Totals],[Periode 9]]+KontanterUtbetalt[[#Totals],[Periode 10]]+KontanterUtbetalt[[#Totals],[Periode 11]]+KontanterUtbetalt[[#Totals],[Periode 12]]</f>
        <v>278212.75</v>
      </c>
      <c r="S37" s="11"/>
      <c r="T37" s="52"/>
    </row>
    <row r="38" spans="2:22" ht="17.25" customHeight="1" x14ac:dyDescent="0.25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V38" s="8"/>
    </row>
    <row r="39" spans="2:22" ht="17.25" customHeight="1" thickBot="1" x14ac:dyDescent="0.35">
      <c r="B39" s="36" t="s">
        <v>30</v>
      </c>
      <c r="C39" s="15"/>
      <c r="D39" s="29">
        <v>62628</v>
      </c>
      <c r="E39" s="29">
        <f t="shared" ref="E39:P39" si="12">E22-E37</f>
        <v>6912.8000000000029</v>
      </c>
      <c r="F39" s="29">
        <f t="shared" si="12"/>
        <v>22524.300000000003</v>
      </c>
      <c r="G39" s="29">
        <f t="shared" si="12"/>
        <v>17357.210000000003</v>
      </c>
      <c r="H39" s="29">
        <f t="shared" si="12"/>
        <v>2464.3800000000047</v>
      </c>
      <c r="I39" s="29">
        <f t="shared" si="12"/>
        <v>12343.050000000005</v>
      </c>
      <c r="J39" s="29">
        <f t="shared" si="12"/>
        <v>68620.200000000012</v>
      </c>
      <c r="K39" s="29">
        <f t="shared" si="12"/>
        <v>84001.930000000008</v>
      </c>
      <c r="L39" s="29">
        <f t="shared" si="12"/>
        <v>63884.430000000008</v>
      </c>
      <c r="M39" s="29">
        <f t="shared" si="12"/>
        <v>65327.360000000008</v>
      </c>
      <c r="N39" s="29">
        <f t="shared" si="12"/>
        <v>10487.360000000008</v>
      </c>
      <c r="O39" s="29">
        <f t="shared" si="12"/>
        <v>8802.4000000000087</v>
      </c>
      <c r="P39" s="29">
        <f t="shared" si="12"/>
        <v>19690.400000000009</v>
      </c>
      <c r="Q39" s="15"/>
      <c r="R39" s="78">
        <f>Kontantinnbetalinger[[#Totals],[Totalt]]-KontanterUtbetalt[[#Totals],[Totalt]]</f>
        <v>-42937.600000000006</v>
      </c>
      <c r="S39" s="28"/>
    </row>
    <row r="40" spans="2:22" ht="17.25" customHeight="1" thickBot="1" x14ac:dyDescent="0.35">
      <c r="B40" s="106"/>
      <c r="C40" s="15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15"/>
      <c r="R40" s="78"/>
      <c r="S40" s="107"/>
    </row>
    <row r="42" spans="2:22" ht="17.25" customHeight="1" x14ac:dyDescent="0.3">
      <c r="B42" s="75" t="s">
        <v>53</v>
      </c>
    </row>
    <row r="43" spans="2:22" ht="17.25" customHeight="1" thickBot="1" x14ac:dyDescent="0.3">
      <c r="B43" s="33" t="s">
        <v>37</v>
      </c>
      <c r="D43" s="34"/>
      <c r="E43" s="34">
        <f>D46</f>
        <v>6975</v>
      </c>
      <c r="F43" s="34">
        <f>E43+Kontantinnbetalinger10[[#Totals],[Periode 1]]</f>
        <v>6975</v>
      </c>
      <c r="G43" s="34">
        <f>F43+Kontantinnbetalinger10[[#Totals],[Periode 2]]</f>
        <v>6975</v>
      </c>
      <c r="H43" s="34">
        <f>G43+Kontantinnbetalinger10[[#Totals],[Periode 3]]</f>
        <v>6975</v>
      </c>
      <c r="I43" s="34">
        <f>H43+Kontantinnbetalinger10[[#Totals],[Periode 4]]</f>
        <v>6975</v>
      </c>
      <c r="J43" s="34">
        <f>I43+Kontantinnbetalinger10[[#Totals],[Periode 5]]</f>
        <v>6975</v>
      </c>
      <c r="K43" s="34">
        <f>J43+Kontantinnbetalinger10[[#Totals],[Periode 6]]</f>
        <v>6975</v>
      </c>
      <c r="L43" s="34">
        <f>K43+Kontantinnbetalinger10[[#Totals],[Periode 7]]</f>
        <v>6975</v>
      </c>
      <c r="M43" s="34">
        <f>L43+Kontantinnbetalinger10[[#Totals],[Periode 8]]</f>
        <v>31975</v>
      </c>
      <c r="N43" s="34">
        <f>M43+Kontantinnbetalinger10[[#Totals],[Periode 9]]</f>
        <v>31975</v>
      </c>
      <c r="O43" s="34">
        <f>N43+Kontantinnbetalinger10[[#Totals],[Periode 10]]</f>
        <v>31975</v>
      </c>
      <c r="P43" s="34">
        <f>O43+Kontantinnbetalinger10[[#Totals],[Periode 11]]</f>
        <v>0</v>
      </c>
      <c r="Q43" s="21"/>
      <c r="R43" s="67"/>
      <c r="S43" s="31"/>
    </row>
    <row r="44" spans="2:22" ht="17.25" customHeight="1" x14ac:dyDescent="0.25">
      <c r="B44" s="41" t="s">
        <v>51</v>
      </c>
      <c r="C44" s="16"/>
      <c r="D44" s="39"/>
      <c r="E44" s="39"/>
      <c r="F44" s="39"/>
      <c r="G44" s="39"/>
      <c r="H44" s="39"/>
      <c r="I44" s="39"/>
      <c r="J44" s="39"/>
      <c r="K44" s="39"/>
      <c r="L44" s="39">
        <v>25000</v>
      </c>
      <c r="M44" s="39"/>
      <c r="N44" s="39"/>
      <c r="O44" s="39">
        <v>-31975</v>
      </c>
      <c r="P44" s="39">
        <v>16</v>
      </c>
      <c r="Q44" s="22"/>
      <c r="R44" s="8"/>
      <c r="S44" s="91" t="s">
        <v>50</v>
      </c>
      <c r="T44" s="71"/>
    </row>
    <row r="45" spans="2:22" ht="17.25" customHeight="1" thickBot="1" x14ac:dyDescent="0.3">
      <c r="B45" s="74" t="s">
        <v>54</v>
      </c>
      <c r="C45" s="42"/>
      <c r="D45" s="45"/>
      <c r="E45" s="45">
        <f>Kontantinnbetalinger10[Periode 1]</f>
        <v>0</v>
      </c>
      <c r="F45" s="45">
        <f>Kontantinnbetalinger10[Periode 2]</f>
        <v>0</v>
      </c>
      <c r="G45" s="45">
        <f>Kontantinnbetalinger10[Periode 3]</f>
        <v>0</v>
      </c>
      <c r="H45" s="45">
        <f>Kontantinnbetalinger10[Periode 4]</f>
        <v>0</v>
      </c>
      <c r="I45" s="45">
        <f>Kontantinnbetalinger10[Periode 5]</f>
        <v>0</v>
      </c>
      <c r="J45" s="45">
        <f>Kontantinnbetalinger10[Periode 6]</f>
        <v>0</v>
      </c>
      <c r="K45" s="45">
        <f>Kontantinnbetalinger10[Periode 7]</f>
        <v>0</v>
      </c>
      <c r="L45" s="45">
        <f>Kontantinnbetalinger10[Periode 8]</f>
        <v>25000</v>
      </c>
      <c r="M45" s="45">
        <f>Kontantinnbetalinger10[Periode 9]</f>
        <v>0</v>
      </c>
      <c r="N45" s="45">
        <f>Kontantinnbetalinger10[Periode 10]</f>
        <v>0</v>
      </c>
      <c r="O45" s="45">
        <f>Kontantinnbetalinger10[Periode 11]</f>
        <v>-31975</v>
      </c>
      <c r="P45" s="45">
        <f>Kontantinnbetalinger10[Periode 12]</f>
        <v>16</v>
      </c>
      <c r="Q45" s="43"/>
      <c r="R45" s="93"/>
      <c r="T45" s="44"/>
    </row>
    <row r="46" spans="2:22" ht="17.25" customHeight="1" thickTop="1" thickBot="1" x14ac:dyDescent="0.3">
      <c r="B46" s="36" t="s">
        <v>30</v>
      </c>
      <c r="C46" s="15"/>
      <c r="D46" s="29">
        <v>6975</v>
      </c>
      <c r="E46" s="29">
        <f>E43+Kontantinnbetalinger10[[#Totals],[Periode 1]]</f>
        <v>6975</v>
      </c>
      <c r="F46" s="29">
        <f>F43+Kontantinnbetalinger10[[#Totals],[Periode 1]]</f>
        <v>6975</v>
      </c>
      <c r="G46" s="29">
        <f>G43+Kontantinnbetalinger10[[#Totals],[Periode 1]]</f>
        <v>6975</v>
      </c>
      <c r="H46" s="29">
        <f>H43+Kontantinnbetalinger10[[#Totals],[Periode 1]]</f>
        <v>6975</v>
      </c>
      <c r="I46" s="29">
        <f>I43+Kontantinnbetalinger10[[#Totals],[Periode 1]]</f>
        <v>6975</v>
      </c>
      <c r="J46" s="29">
        <f>J43+Kontantinnbetalinger10[[#Totals],[Periode 1]]</f>
        <v>6975</v>
      </c>
      <c r="K46" s="29">
        <f>K43+Kontantinnbetalinger10[[#Totals],[Periode 1]]</f>
        <v>6975</v>
      </c>
      <c r="L46" s="29">
        <f>L43+Kontantinnbetalinger10[[#Totals],[Periode 1]]</f>
        <v>6975</v>
      </c>
      <c r="M46" s="29">
        <f>M43+Kontantinnbetalinger10[[#Totals],[Periode 1]]</f>
        <v>31975</v>
      </c>
      <c r="N46" s="29">
        <f>N43+Kontantinnbetalinger10[[#Totals],[Periode 1]]</f>
        <v>31975</v>
      </c>
      <c r="O46" s="29">
        <f>O43+Kontantinnbetalinger10[[#Totals],[Periode 1]]</f>
        <v>31975</v>
      </c>
      <c r="P46" s="29">
        <f>P43+Kontantinnbetalinger10[[#Totals],[Periode 12]]</f>
        <v>16</v>
      </c>
      <c r="Q46" s="23"/>
      <c r="R46" s="29"/>
      <c r="S46" s="30"/>
    </row>
  </sheetData>
  <mergeCells count="5">
    <mergeCell ref="D1:R1"/>
    <mergeCell ref="B23:S23"/>
    <mergeCell ref="B38:S38"/>
    <mergeCell ref="S8:S9"/>
    <mergeCell ref="D8:D9"/>
  </mergeCells>
  <conditionalFormatting sqref="E6:P6">
    <cfRule type="expression" dxfId="14" priority="19">
      <formula>E6&lt;0</formula>
    </cfRule>
  </conditionalFormatting>
  <conditionalFormatting sqref="E39:P40">
    <cfRule type="expression" dxfId="13" priority="18">
      <formula>E39&lt;0</formula>
    </cfRule>
  </conditionalFormatting>
  <conditionalFormatting sqref="E22:P22">
    <cfRule type="expression" dxfId="12" priority="17">
      <formula>E22&lt;0</formula>
    </cfRule>
  </conditionalFormatting>
  <conditionalFormatting sqref="R39:R40">
    <cfRule type="expression" dxfId="11" priority="16">
      <formula>R39&lt;0</formula>
    </cfRule>
  </conditionalFormatting>
  <conditionalFormatting sqref="D39:D40">
    <cfRule type="expression" dxfId="10" priority="15">
      <formula>D39&lt;0</formula>
    </cfRule>
  </conditionalFormatting>
  <conditionalFormatting sqref="E43:P43">
    <cfRule type="expression" dxfId="9" priority="4">
      <formula>E43&lt;0</formula>
    </cfRule>
  </conditionalFormatting>
  <conditionalFormatting sqref="E46:P46">
    <cfRule type="expression" dxfId="8" priority="3">
      <formula>E46&lt;0</formula>
    </cfRule>
  </conditionalFormatting>
  <printOptions horizontalCentered="1" verticalCentered="1"/>
  <pageMargins left="0.5" right="0.5" top="0.5" bottom="0.5" header="0.3" footer="0.3"/>
  <pageSetup scale="60" orientation="landscape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" id="{2A825BFE-E693-4238-8389-5BCCFE76FDDD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E6:R6</xm:sqref>
        </x14:conditionalFormatting>
        <x14:conditionalFormatting xmlns:xm="http://schemas.microsoft.com/office/excel/2006/main">
          <x14:cfRule type="iconSet" priority="26" id="{3C1E0335-68B6-4E32-9520-0CC0127E0E62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D22:R22</xm:sqref>
        </x14:conditionalFormatting>
        <x14:conditionalFormatting xmlns:xm="http://schemas.microsoft.com/office/excel/2006/main">
          <x14:cfRule type="iconSet" priority="27" id="{46DB4F99-6858-4D3F-B689-77C99193522A}">
            <x14:iconSet iconSet="3Flags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R39:R40 D39:P40</xm:sqref>
        </x14:conditionalFormatting>
        <x14:conditionalFormatting xmlns:xm="http://schemas.microsoft.com/office/excel/2006/main">
          <x14:cfRule type="iconSet" priority="5" id="{051CCDD3-68A3-4CA9-9299-D679FC141675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E43:Q43</xm:sqref>
        </x14:conditionalFormatting>
        <x14:conditionalFormatting xmlns:xm="http://schemas.microsoft.com/office/excel/2006/main">
          <x14:cfRule type="iconSet" priority="6" id="{5669389E-8B38-45EF-BFE6-255B4AC03BDB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D46:R46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AA7B7C4A-76F7-42EE-A0E4-07DEAC3A6CD3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'Regnskap 2018'!D45:P45</xm:f>
              <xm:sqref>S45</xm:sqref>
            </x14:sparkline>
          </x14:sparklines>
        </x14:sparklineGroup>
        <x14:sparklineGroup displayEmptyCellsAs="gap" markers="1" xr2:uid="{596B5C96-24A6-4D85-9961-2CDD6A146F2B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'Regnskap 2018'!D46:P46</xm:f>
              <xm:sqref>S46</xm:sqref>
            </x14:sparkline>
            <x14:sparkline>
              <xm:f>'Regnskap 2018'!D43:P43</xm:f>
              <xm:sqref>S43</xm:sqref>
            </x14:sparkline>
          </x14:sparklines>
        </x14:sparklineGroup>
        <x14:sparklineGroup displayEmptyCellsAs="gap" markers="1" xr2:uid="{00000000-0003-0000-0000-000001000000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'Regnskap 2018'!D37:P37</xm:f>
              <xm:sqref>S37</xm:sqref>
            </x14:sparkline>
          </x14:sparklines>
        </x14:sparklineGroup>
        <x14:sparklineGroup displayEmptyCellsAs="gap" markers="1" xr2:uid="{00000000-0003-0000-0000-000002000000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'Regnskap 2018'!D21:P21</xm:f>
              <xm:sqref>S21</xm:sqref>
            </x14:sparkline>
          </x14:sparklines>
        </x14:sparklineGroup>
        <x14:sparklineGroup displayEmptyCellsAs="gap" markers="1" xr2:uid="{00000000-0003-0000-0000-000003000000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'Regnskap 2018'!D39:P39</xm:f>
              <xm:sqref>S39</xm:sqref>
            </x14:sparkline>
            <x14:sparkline>
              <xm:f>'Regnskap 2018'!D40:P40</xm:f>
              <xm:sqref>S40</xm:sqref>
            </x14:sparkline>
            <x14:sparkline>
              <xm:f>'Regnskap 2018'!D22:P22</xm:f>
              <xm:sqref>S22</xm:sqref>
            </x14:sparkline>
            <x14:sparkline>
              <xm:f>'Regnskap 2018'!D6:P6</xm:f>
              <xm:sqref>S6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C9C7-1022-4C23-85B6-D3B37D9663E1}">
  <sheetPr>
    <pageSetUpPr fitToPage="1"/>
  </sheetPr>
  <dimension ref="B1:W45"/>
  <sheetViews>
    <sheetView topLeftCell="A16" zoomScale="110" zoomScaleNormal="110" workbookViewId="0">
      <selection activeCell="E26" sqref="E26"/>
    </sheetView>
  </sheetViews>
  <sheetFormatPr baseColWidth="10" defaultColWidth="9" defaultRowHeight="13.5" x14ac:dyDescent="0.25"/>
  <cols>
    <col min="1" max="1" width="2.25" customWidth="1"/>
    <col min="2" max="2" width="35.875" customWidth="1"/>
    <col min="3" max="3" width="2.875" customWidth="1"/>
    <col min="4" max="4" width="9.375" customWidth="1"/>
    <col min="5" max="16" width="9.625" customWidth="1"/>
    <col min="17" max="17" width="2.875" customWidth="1"/>
    <col min="18" max="18" width="10.375" customWidth="1"/>
  </cols>
  <sheetData>
    <row r="1" spans="2:19" ht="58.5" customHeight="1" thickBot="1" x14ac:dyDescent="0.3">
      <c r="B1" s="76" t="s">
        <v>47</v>
      </c>
      <c r="C1" s="7"/>
      <c r="D1" s="7"/>
      <c r="E1" s="97" t="s">
        <v>59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7"/>
    </row>
    <row r="2" spans="2:19" ht="22.5" customHeight="1" thickTop="1" x14ac:dyDescent="0.3">
      <c r="B2" s="75" t="s">
        <v>52</v>
      </c>
      <c r="Q2" s="26"/>
    </row>
    <row r="3" spans="2:19" ht="25.5" customHeight="1" x14ac:dyDescent="0.35">
      <c r="B3" s="37"/>
      <c r="D3" s="12"/>
      <c r="E3" s="35" t="str">
        <f>UPPER(TEXT(RegnskapsårStartDato,"mmm"))</f>
        <v>JAN</v>
      </c>
      <c r="F3" s="35" t="str">
        <f>UPPER(TEXT(EOMONTH(RegnskapsårStartDato,1),"mmm"))</f>
        <v>FEB</v>
      </c>
      <c r="G3" s="35" t="str">
        <f>UPPER(TEXT(EOMONTH(RegnskapsårStartDato,2),"mmm"))</f>
        <v>MAR</v>
      </c>
      <c r="H3" s="35" t="str">
        <f>UPPER(TEXT(EOMONTH(RegnskapsårStartDato,3),"mmm"))</f>
        <v>APR</v>
      </c>
      <c r="I3" s="35" t="str">
        <f>UPPER(TEXT(EOMONTH(RegnskapsårStartDato,4),"mmm"))</f>
        <v>MAI</v>
      </c>
      <c r="J3" s="35" t="str">
        <f>UPPER(TEXT(EOMONTH(RegnskapsårStartDato,5),"mmm"))</f>
        <v>JUN</v>
      </c>
      <c r="K3" s="35" t="str">
        <f>UPPER(TEXT(EOMONTH(RegnskapsårStartDato,6),"mmm"))</f>
        <v>JUL</v>
      </c>
      <c r="L3" s="35" t="str">
        <f>UPPER(TEXT(EOMONTH(RegnskapsårStartDato,7),"mmm"))</f>
        <v>AUG</v>
      </c>
      <c r="M3" s="35" t="str">
        <f>UPPER(TEXT(EOMONTH(RegnskapsårStartDato,8),"mmm"))</f>
        <v>SEP</v>
      </c>
      <c r="N3" s="35" t="str">
        <f>UPPER(TEXT(EOMONTH(RegnskapsårStartDato,9),"mmm"))</f>
        <v>OKT</v>
      </c>
      <c r="O3" s="35" t="str">
        <f>UPPER(TEXT(EOMONTH(RegnskapsårStartDato,10),"mmm"))</f>
        <v>NOV</v>
      </c>
      <c r="P3" s="35" t="str">
        <f>UPPER(TEXT(EOMONTH(RegnskapsårStartDato,11),"mmm"))</f>
        <v>DES</v>
      </c>
      <c r="Q3" s="18"/>
      <c r="R3" s="13" t="s">
        <v>1</v>
      </c>
      <c r="S3" s="2"/>
    </row>
    <row r="4" spans="2:19" ht="12.75" customHeight="1" thickBot="1" x14ac:dyDescent="0.3">
      <c r="B4" s="77"/>
      <c r="D4" s="14"/>
      <c r="E4" s="32">
        <f>RegnskapsårStartDato</f>
        <v>0</v>
      </c>
      <c r="F4" s="32">
        <f t="shared" ref="F4:P4" si="0">EOMONTH(E4,0)+DAY(RegnskapsårStartDato)</f>
        <v>31</v>
      </c>
      <c r="G4" s="32">
        <f t="shared" si="0"/>
        <v>31</v>
      </c>
      <c r="H4" s="32">
        <f t="shared" si="0"/>
        <v>31</v>
      </c>
      <c r="I4" s="32">
        <f t="shared" si="0"/>
        <v>31</v>
      </c>
      <c r="J4" s="32">
        <f t="shared" si="0"/>
        <v>31</v>
      </c>
      <c r="K4" s="32">
        <f t="shared" si="0"/>
        <v>31</v>
      </c>
      <c r="L4" s="32">
        <f t="shared" si="0"/>
        <v>31</v>
      </c>
      <c r="M4" s="32">
        <f t="shared" si="0"/>
        <v>31</v>
      </c>
      <c r="N4" s="32">
        <f t="shared" si="0"/>
        <v>31</v>
      </c>
      <c r="O4" s="32">
        <f t="shared" si="0"/>
        <v>31</v>
      </c>
      <c r="P4" s="32">
        <f t="shared" si="0"/>
        <v>31</v>
      </c>
      <c r="Q4" s="19"/>
      <c r="R4" s="12" t="s">
        <v>4</v>
      </c>
      <c r="S4" s="2"/>
    </row>
    <row r="5" spans="2:19" ht="17.25" customHeight="1" thickTop="1" x14ac:dyDescent="0.25">
      <c r="B5" s="3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20"/>
      <c r="R5" s="6"/>
      <c r="S5" s="2"/>
    </row>
    <row r="6" spans="2:19" ht="17.25" customHeight="1" thickBot="1" x14ac:dyDescent="0.3">
      <c r="B6" s="33" t="s">
        <v>37</v>
      </c>
      <c r="D6" s="34"/>
      <c r="E6" s="34">
        <f t="shared" ref="E6:P6" si="1">D38</f>
        <v>19690</v>
      </c>
      <c r="F6" s="34">
        <f t="shared" si="1"/>
        <v>13180</v>
      </c>
      <c r="G6" s="34">
        <f t="shared" si="1"/>
        <v>6270</v>
      </c>
      <c r="H6" s="34">
        <f t="shared" si="1"/>
        <v>17640</v>
      </c>
      <c r="I6" s="34">
        <f t="shared" si="1"/>
        <v>17530</v>
      </c>
      <c r="J6" s="34">
        <f t="shared" si="1"/>
        <v>20020</v>
      </c>
      <c r="K6" s="34">
        <f t="shared" si="1"/>
        <v>28900</v>
      </c>
      <c r="L6" s="34">
        <f t="shared" si="1"/>
        <v>32990</v>
      </c>
      <c r="M6" s="34">
        <f t="shared" si="1"/>
        <v>38580</v>
      </c>
      <c r="N6" s="34">
        <f t="shared" si="1"/>
        <v>7540</v>
      </c>
      <c r="O6" s="34">
        <f t="shared" si="1"/>
        <v>20130</v>
      </c>
      <c r="P6" s="34">
        <f t="shared" si="1"/>
        <v>14220</v>
      </c>
      <c r="Q6" s="21"/>
      <c r="R6" s="34"/>
      <c r="S6" s="31"/>
    </row>
    <row r="7" spans="2:19" ht="17.25" customHeight="1" x14ac:dyDescent="0.25">
      <c r="Q7" s="16"/>
    </row>
    <row r="8" spans="2:19" ht="17.25" customHeight="1" x14ac:dyDescent="0.25">
      <c r="B8" s="27" t="s">
        <v>2</v>
      </c>
      <c r="D8" s="96" t="s">
        <v>21</v>
      </c>
      <c r="Q8" s="16"/>
      <c r="S8" s="96" t="s">
        <v>43</v>
      </c>
    </row>
    <row r="9" spans="2:19" ht="17.25" customHeight="1" x14ac:dyDescent="0.25">
      <c r="D9" s="98"/>
      <c r="S9" s="96"/>
    </row>
    <row r="10" spans="2:19" ht="17.25" customHeight="1" x14ac:dyDescent="0.25">
      <c r="B10" s="40" t="s">
        <v>6</v>
      </c>
      <c r="C10" s="16"/>
      <c r="D10" s="55">
        <f>Kontantinnbetalinger[[#This Row],[Totalt]]-28800</f>
        <v>-2500</v>
      </c>
      <c r="E10" s="38">
        <v>2500</v>
      </c>
      <c r="F10" s="38">
        <v>2500</v>
      </c>
      <c r="G10" s="66">
        <v>5000</v>
      </c>
      <c r="H10" s="38">
        <v>2500</v>
      </c>
      <c r="I10" s="38">
        <v>2500</v>
      </c>
      <c r="J10" s="38">
        <v>2500</v>
      </c>
      <c r="K10" s="38">
        <v>2700</v>
      </c>
      <c r="L10" s="38">
        <v>2700</v>
      </c>
      <c r="M10" s="38">
        <v>2700</v>
      </c>
      <c r="N10" s="38">
        <v>2700</v>
      </c>
      <c r="O10" s="38">
        <v>2700</v>
      </c>
      <c r="P10" s="38">
        <v>2700</v>
      </c>
      <c r="Q10" s="22"/>
      <c r="R10" s="8">
        <f>SUM(Kontantinnbetalinger5[[#This Row],[Periode 1]:[Periode 12]])</f>
        <v>33700</v>
      </c>
      <c r="S10" s="55">
        <f>Kontantinnbetalinger5[[#This Row],[Totalt]]+Kontantinnbetalinger5[[#This Row],[Periode 0]]-31200</f>
        <v>0</v>
      </c>
    </row>
    <row r="11" spans="2:19" ht="17.25" customHeight="1" x14ac:dyDescent="0.25">
      <c r="B11" s="40" t="s">
        <v>7</v>
      </c>
      <c r="C11" s="16"/>
      <c r="D11" s="61">
        <f>Kontantinnbetalinger[[#This Row],[Totalt]]-28800</f>
        <v>0</v>
      </c>
      <c r="E11" s="38">
        <v>2500</v>
      </c>
      <c r="F11" s="38">
        <v>2500</v>
      </c>
      <c r="G11" s="38">
        <v>2500</v>
      </c>
      <c r="H11" s="38">
        <v>2500</v>
      </c>
      <c r="I11" s="38">
        <v>2500</v>
      </c>
      <c r="J11" s="38">
        <v>2500</v>
      </c>
      <c r="K11" s="38">
        <v>2700</v>
      </c>
      <c r="L11" s="38">
        <v>2700</v>
      </c>
      <c r="M11" s="38">
        <v>2700</v>
      </c>
      <c r="N11" s="38">
        <v>2700</v>
      </c>
      <c r="O11" s="38">
        <v>2700</v>
      </c>
      <c r="P11" s="38">
        <v>2700</v>
      </c>
      <c r="Q11" s="22"/>
      <c r="R11" s="8">
        <f>SUM(Kontantinnbetalinger5[[#This Row],[Periode 1]:[Periode 12]])</f>
        <v>31200</v>
      </c>
      <c r="S11" s="55">
        <f>Kontantinnbetalinger5[[#This Row],[Totalt]]+Kontantinnbetalinger5[[#This Row],[Periode 0]]-31200</f>
        <v>0</v>
      </c>
    </row>
    <row r="12" spans="2:19" ht="17.25" customHeight="1" x14ac:dyDescent="0.25">
      <c r="B12" s="40" t="s">
        <v>9</v>
      </c>
      <c r="C12" s="16"/>
      <c r="D12" s="55">
        <f>Kontantinnbetalinger[[#This Row],[Totalt]]-28800</f>
        <v>-2500</v>
      </c>
      <c r="E12" s="66">
        <v>5000</v>
      </c>
      <c r="F12" s="38">
        <v>2500</v>
      </c>
      <c r="G12" s="38">
        <v>2500</v>
      </c>
      <c r="H12" s="38">
        <v>2500</v>
      </c>
      <c r="I12" s="38">
        <v>2500</v>
      </c>
      <c r="J12" s="38">
        <v>2500</v>
      </c>
      <c r="K12" s="38">
        <v>2700</v>
      </c>
      <c r="L12" s="38">
        <v>2700</v>
      </c>
      <c r="M12" s="38">
        <v>2700</v>
      </c>
      <c r="N12" s="38">
        <v>2700</v>
      </c>
      <c r="O12" s="38">
        <v>2700</v>
      </c>
      <c r="P12" s="38">
        <v>2700</v>
      </c>
      <c r="Q12" s="22"/>
      <c r="R12" s="8">
        <f>SUM(Kontantinnbetalinger5[[#This Row],[Periode 1]:[Periode 12]])</f>
        <v>33700</v>
      </c>
      <c r="S12" s="55">
        <f>Kontantinnbetalinger5[[#This Row],[Totalt]]+Kontantinnbetalinger5[[#This Row],[Periode 0]]-31200</f>
        <v>0</v>
      </c>
    </row>
    <row r="13" spans="2:19" ht="17.25" customHeight="1" x14ac:dyDescent="0.25">
      <c r="B13" s="40" t="s">
        <v>8</v>
      </c>
      <c r="C13" s="16"/>
      <c r="D13" s="56">
        <f>Kontantinnbetalinger[[#This Row],[Totalt]]-28800</f>
        <v>2700</v>
      </c>
      <c r="E13" s="38" t="s">
        <v>38</v>
      </c>
      <c r="F13" s="38">
        <v>2600</v>
      </c>
      <c r="G13" s="38">
        <v>2500</v>
      </c>
      <c r="H13" s="66">
        <v>2200</v>
      </c>
      <c r="I13" s="38">
        <v>2500</v>
      </c>
      <c r="J13" s="38">
        <v>2500</v>
      </c>
      <c r="K13" s="38">
        <v>2700</v>
      </c>
      <c r="L13" s="38">
        <v>2700</v>
      </c>
      <c r="M13" s="38">
        <v>2700</v>
      </c>
      <c r="N13" s="38">
        <v>2700</v>
      </c>
      <c r="O13" s="38">
        <v>2700</v>
      </c>
      <c r="P13" s="38">
        <v>2700</v>
      </c>
      <c r="Q13" s="22"/>
      <c r="R13" s="8">
        <f>SUM(Kontantinnbetalinger5[[#This Row],[Periode 1]:[Periode 12]])</f>
        <v>28500</v>
      </c>
      <c r="S13" s="55">
        <f>Kontantinnbetalinger5[[#This Row],[Totalt]]+Kontantinnbetalinger5[[#This Row],[Periode 0]]-31200</f>
        <v>0</v>
      </c>
    </row>
    <row r="14" spans="2:19" ht="17.25" customHeight="1" x14ac:dyDescent="0.25">
      <c r="B14" s="40" t="s">
        <v>48</v>
      </c>
      <c r="C14" s="16"/>
      <c r="D14" s="61">
        <f>Kontantinnbetalinger[[#This Row],[Totalt]]-28800</f>
        <v>0</v>
      </c>
      <c r="E14" s="38">
        <v>2500</v>
      </c>
      <c r="F14" s="38">
        <v>2500</v>
      </c>
      <c r="G14" s="38">
        <v>2500</v>
      </c>
      <c r="H14" s="38">
        <v>2500</v>
      </c>
      <c r="I14" s="38">
        <v>2500</v>
      </c>
      <c r="J14" s="38">
        <v>2500</v>
      </c>
      <c r="K14" s="38">
        <v>2700</v>
      </c>
      <c r="L14" s="38">
        <v>2700</v>
      </c>
      <c r="M14" s="38">
        <v>2700</v>
      </c>
      <c r="N14" s="38">
        <v>2700</v>
      </c>
      <c r="O14" s="38">
        <v>2700</v>
      </c>
      <c r="P14" s="38">
        <v>2700</v>
      </c>
      <c r="Q14" s="22"/>
      <c r="R14" s="8">
        <f>SUM(Kontantinnbetalinger5[[#This Row],[Periode 1]:[Periode 12]])</f>
        <v>31200</v>
      </c>
      <c r="S14" s="55">
        <f>Kontantinnbetalinger5[[#This Row],[Totalt]]+Kontantinnbetalinger5[[#This Row],[Periode 0]]-31200</f>
        <v>0</v>
      </c>
    </row>
    <row r="15" spans="2:19" ht="17.25" customHeight="1" x14ac:dyDescent="0.25">
      <c r="B15" s="40" t="s">
        <v>17</v>
      </c>
      <c r="C15" s="16"/>
      <c r="D15" s="61">
        <f>Kontantinnbetalinger[[#This Row],[Totalt]]-28800</f>
        <v>0</v>
      </c>
      <c r="E15" s="38">
        <v>2500</v>
      </c>
      <c r="F15" s="38">
        <v>2500</v>
      </c>
      <c r="G15" s="38">
        <v>2500</v>
      </c>
      <c r="H15" s="38">
        <v>2500</v>
      </c>
      <c r="I15" s="38">
        <v>2500</v>
      </c>
      <c r="J15" s="38">
        <v>2500</v>
      </c>
      <c r="K15" s="38">
        <v>2700</v>
      </c>
      <c r="L15" s="38">
        <v>2700</v>
      </c>
      <c r="M15" s="38">
        <v>2700</v>
      </c>
      <c r="N15" s="38">
        <v>2700</v>
      </c>
      <c r="O15" s="38">
        <v>2700</v>
      </c>
      <c r="P15" s="38">
        <v>2700</v>
      </c>
      <c r="Q15" s="22"/>
      <c r="R15" s="8">
        <f>SUM(Kontantinnbetalinger5[[#This Row],[Periode 1]:[Periode 12]])</f>
        <v>31200</v>
      </c>
      <c r="S15" s="55">
        <f>Kontantinnbetalinger5[[#This Row],[Totalt]]+Kontantinnbetalinger5[[#This Row],[Periode 0]]-31200</f>
        <v>0</v>
      </c>
    </row>
    <row r="16" spans="2:19" ht="17.25" customHeight="1" x14ac:dyDescent="0.25">
      <c r="B16" s="40" t="s">
        <v>16</v>
      </c>
      <c r="C16" s="16"/>
      <c r="D16" s="61">
        <v>700</v>
      </c>
      <c r="E16" s="38">
        <v>2500</v>
      </c>
      <c r="F16" s="38">
        <v>2500</v>
      </c>
      <c r="G16" s="38">
        <v>2500</v>
      </c>
      <c r="H16" s="66">
        <v>1800</v>
      </c>
      <c r="I16" s="38">
        <v>2500</v>
      </c>
      <c r="J16" s="38">
        <v>2500</v>
      </c>
      <c r="K16" s="38">
        <v>2700</v>
      </c>
      <c r="L16" s="38">
        <v>2700</v>
      </c>
      <c r="M16" s="38">
        <v>2700</v>
      </c>
      <c r="N16" s="38">
        <v>2700</v>
      </c>
      <c r="O16" s="38">
        <v>2700</v>
      </c>
      <c r="P16" s="38">
        <v>2700</v>
      </c>
      <c r="Q16" s="22"/>
      <c r="R16" s="8">
        <f>SUM(Kontantinnbetalinger5[[#This Row],[Periode 1]:[Periode 12]])</f>
        <v>30500</v>
      </c>
      <c r="S16" s="55">
        <f>Kontantinnbetalinger5[[#This Row],[Totalt]]+Kontantinnbetalinger5[[#This Row],[Periode 0]]-31200</f>
        <v>0</v>
      </c>
    </row>
    <row r="17" spans="2:23" ht="17.25" customHeight="1" x14ac:dyDescent="0.25">
      <c r="B17" s="40" t="s">
        <v>5</v>
      </c>
      <c r="C17" s="16"/>
      <c r="D17" s="56">
        <v>300</v>
      </c>
      <c r="E17" s="38">
        <v>2500</v>
      </c>
      <c r="F17" s="38">
        <v>2500</v>
      </c>
      <c r="G17" s="38">
        <v>2500</v>
      </c>
      <c r="H17" s="66">
        <v>2200</v>
      </c>
      <c r="I17" s="38">
        <v>2500</v>
      </c>
      <c r="J17" s="38">
        <v>2500</v>
      </c>
      <c r="K17" s="38">
        <v>2700</v>
      </c>
      <c r="L17" s="38">
        <v>2700</v>
      </c>
      <c r="M17" s="38">
        <v>2700</v>
      </c>
      <c r="N17" s="38">
        <v>2700</v>
      </c>
      <c r="O17" s="38">
        <v>2700</v>
      </c>
      <c r="P17" s="38">
        <v>2700</v>
      </c>
      <c r="Q17" s="22"/>
      <c r="R17" s="8">
        <f>SUM(Kontantinnbetalinger5[[#This Row],[Periode 1]:[Periode 12]])</f>
        <v>30900</v>
      </c>
      <c r="S17" s="55">
        <f>Kontantinnbetalinger5[[#This Row],[Totalt]]+Kontantinnbetalinger5[[#This Row],[Periode 0]]-31200</f>
        <v>0</v>
      </c>
    </row>
    <row r="18" spans="2:23" ht="17.25" customHeight="1" x14ac:dyDescent="0.25">
      <c r="B18" s="41"/>
      <c r="C18" s="1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22"/>
      <c r="R18" s="8">
        <f>SUM(Kontantinnbetalinger5[[#This Row],[Periode 1]:[Periode 12]])</f>
        <v>0</v>
      </c>
      <c r="S18" s="55"/>
    </row>
    <row r="19" spans="2:23" ht="17.25" customHeight="1" x14ac:dyDescent="0.25">
      <c r="B19" s="41" t="s">
        <v>20</v>
      </c>
      <c r="C19" s="17"/>
      <c r="D19" s="38"/>
      <c r="E19" s="38">
        <v>-7500</v>
      </c>
      <c r="F19" s="38">
        <v>-7500</v>
      </c>
      <c r="G19" s="38"/>
      <c r="H19" s="38">
        <v>-7500</v>
      </c>
      <c r="I19" s="38">
        <v>-7500</v>
      </c>
      <c r="J19" s="38">
        <v>-7500</v>
      </c>
      <c r="K19" s="38">
        <v>-7500</v>
      </c>
      <c r="L19" s="38">
        <v>-7500</v>
      </c>
      <c r="M19" s="38">
        <v>-7500</v>
      </c>
      <c r="N19" s="38"/>
      <c r="O19" s="38">
        <v>-7500</v>
      </c>
      <c r="P19" s="38">
        <v>-7500</v>
      </c>
      <c r="Q19" s="22"/>
      <c r="R19" s="101">
        <f>SUM(Kontantinnbetalinger5[[#This Row],[Periode 1]:[Periode 12]])</f>
        <v>-75000</v>
      </c>
      <c r="S19" s="103" t="s">
        <v>58</v>
      </c>
      <c r="T19" s="102"/>
    </row>
    <row r="20" spans="2:23" s="44" customFormat="1" ht="17.25" customHeight="1" x14ac:dyDescent="0.25">
      <c r="B20" s="40"/>
      <c r="C20" s="46"/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25"/>
      <c r="R20" s="8">
        <f>SUM(Kontantinnbetalinger5[[#This Row],[Periode 1]:[Periode 12]])</f>
        <v>0</v>
      </c>
      <c r="S20" s="55"/>
    </row>
    <row r="21" spans="2:23" ht="17.25" customHeight="1" thickBot="1" x14ac:dyDescent="0.3">
      <c r="B21" s="74" t="s">
        <v>36</v>
      </c>
      <c r="C21" s="42"/>
      <c r="D21" s="45"/>
      <c r="E21" s="45">
        <f>SUBTOTAL(109,Kontantinnbetalinger5[Periode 1])</f>
        <v>12500</v>
      </c>
      <c r="F21" s="45">
        <f>SUBTOTAL(109,Kontantinnbetalinger5[Periode 2])</f>
        <v>12600</v>
      </c>
      <c r="G21" s="45">
        <f>SUBTOTAL(109,Kontantinnbetalinger5[Periode 3])</f>
        <v>22500</v>
      </c>
      <c r="H21" s="45">
        <f>SUBTOTAL(109,Kontantinnbetalinger5[Periode 4])</f>
        <v>11200</v>
      </c>
      <c r="I21" s="45">
        <f>SUBTOTAL(109,Kontantinnbetalinger5[Periode 5])</f>
        <v>12500</v>
      </c>
      <c r="J21" s="45">
        <f>SUBTOTAL(109,Kontantinnbetalinger5[Periode 6])</f>
        <v>12500</v>
      </c>
      <c r="K21" s="45">
        <f>SUBTOTAL(109,Kontantinnbetalinger5[Periode 7])</f>
        <v>14100</v>
      </c>
      <c r="L21" s="45">
        <f>SUBTOTAL(109,Kontantinnbetalinger5[Periode 8])</f>
        <v>14100</v>
      </c>
      <c r="M21" s="45">
        <f>SUBTOTAL(109,Kontantinnbetalinger5[Periode 9])</f>
        <v>14100</v>
      </c>
      <c r="N21" s="45">
        <f>SUBTOTAL(109,Kontantinnbetalinger5[Periode 10])</f>
        <v>21600</v>
      </c>
      <c r="O21" s="45">
        <f>SUBTOTAL(109,Kontantinnbetalinger5[Periode 11])</f>
        <v>14100</v>
      </c>
      <c r="P21" s="45">
        <f>SUBTOTAL(109,Kontantinnbetalinger5[Periode 12])</f>
        <v>14100</v>
      </c>
      <c r="Q21" s="43"/>
      <c r="R21" s="45">
        <f>SUBTOTAL(109,Kontantinnbetalinger5[Totalt])</f>
        <v>175900</v>
      </c>
    </row>
    <row r="22" spans="2:23" ht="17.25" customHeight="1" thickTop="1" thickBot="1" x14ac:dyDescent="0.3">
      <c r="B22" s="36" t="s">
        <v>30</v>
      </c>
      <c r="C22" s="15"/>
      <c r="D22" s="29"/>
      <c r="E22" s="29">
        <f>E6+SUM(Kontantinnbetalinger5[Periode 1])</f>
        <v>32190</v>
      </c>
      <c r="F22" s="29">
        <f>F6+SUM(Kontantinnbetalinger5[Periode 2])</f>
        <v>25780</v>
      </c>
      <c r="G22" s="29">
        <f>G6+SUM(Kontantinnbetalinger5[Periode 3])</f>
        <v>28770</v>
      </c>
      <c r="H22" s="29">
        <f>H6+SUM(Kontantinnbetalinger5[Periode 4])</f>
        <v>28840</v>
      </c>
      <c r="I22" s="29">
        <f>I6+SUM(Kontantinnbetalinger5[Periode 5])</f>
        <v>30030</v>
      </c>
      <c r="J22" s="29">
        <f>J6+SUM(Kontantinnbetalinger5[Periode 6])</f>
        <v>32520</v>
      </c>
      <c r="K22" s="29">
        <f>K6+SUM(Kontantinnbetalinger5[Periode 7])</f>
        <v>43000</v>
      </c>
      <c r="L22" s="29">
        <f>L6+SUM(Kontantinnbetalinger5[Periode 8])</f>
        <v>47090</v>
      </c>
      <c r="M22" s="29">
        <f>M6+SUM(Kontantinnbetalinger5[Periode 9])</f>
        <v>52680</v>
      </c>
      <c r="N22" s="29">
        <f>N6+SUM(Kontantinnbetalinger5[Periode 10])</f>
        <v>29140</v>
      </c>
      <c r="O22" s="29">
        <f>O6+SUM(Kontantinnbetalinger5[Periode 11])</f>
        <v>34230</v>
      </c>
      <c r="P22" s="29">
        <f>P6+SUM(Kontantinnbetalinger5[Periode 12])</f>
        <v>28320</v>
      </c>
      <c r="Q22" s="23"/>
      <c r="R22" s="29">
        <f>R6+SUM(Kontantinnbetalinger5[Totalt])</f>
        <v>175900</v>
      </c>
      <c r="S22" s="30"/>
    </row>
    <row r="23" spans="2:23" ht="17.25" customHeight="1" x14ac:dyDescent="0.25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</row>
    <row r="24" spans="2:23" ht="17.25" customHeight="1" x14ac:dyDescent="0.3">
      <c r="B24" s="9" t="s">
        <v>3</v>
      </c>
      <c r="C24" s="16"/>
      <c r="Q24" s="16"/>
    </row>
    <row r="25" spans="2:23" s="85" customFormat="1" ht="17.25" customHeight="1" x14ac:dyDescent="0.25">
      <c r="B25" s="79" t="s">
        <v>45</v>
      </c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2">
        <v>35000</v>
      </c>
      <c r="N25" s="81"/>
      <c r="O25" s="81"/>
      <c r="P25" s="81"/>
      <c r="Q25" s="83"/>
      <c r="R25" s="88">
        <f>SUM(KontanterUtbetalt6[[#This Row],[Periode 0]:[Periode 12]])</f>
        <v>35000</v>
      </c>
      <c r="S25" s="84"/>
    </row>
    <row r="26" spans="2:23" ht="17.25" customHeight="1" x14ac:dyDescent="0.25">
      <c r="B26" s="86" t="s">
        <v>44</v>
      </c>
      <c r="C26" s="16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24"/>
      <c r="R26" s="10">
        <f>SUM(KontanterUtbetalt6[[#This Row],[Periode 0]:[Periode 12]])</f>
        <v>0</v>
      </c>
      <c r="S26" s="1"/>
    </row>
    <row r="27" spans="2:23" ht="17.25" customHeight="1" x14ac:dyDescent="0.25">
      <c r="B27" s="41" t="s">
        <v>24</v>
      </c>
      <c r="C27" s="16"/>
      <c r="D27" s="39"/>
      <c r="E27" s="39"/>
      <c r="F27" s="39"/>
      <c r="G27" s="39"/>
      <c r="H27" s="39">
        <v>2000</v>
      </c>
      <c r="I27" s="39"/>
      <c r="J27" s="39"/>
      <c r="K27" s="39"/>
      <c r="L27" s="39"/>
      <c r="M27" s="39"/>
      <c r="N27" s="39"/>
      <c r="O27" s="39"/>
      <c r="P27" s="39"/>
      <c r="Q27" s="24"/>
      <c r="R27" s="10">
        <f>SUM(KontanterUtbetalt6[[#This Row],[Periode 0]:[Periode 12]])</f>
        <v>2000</v>
      </c>
      <c r="S27" s="1"/>
      <c r="W27" s="8"/>
    </row>
    <row r="28" spans="2:23" ht="17.25" customHeight="1" x14ac:dyDescent="0.25">
      <c r="B28" s="41" t="s">
        <v>23</v>
      </c>
      <c r="C28" s="16"/>
      <c r="D28" s="39"/>
      <c r="E28" s="39"/>
      <c r="F28" s="39"/>
      <c r="G28" s="39"/>
      <c r="H28" s="39">
        <v>800</v>
      </c>
      <c r="I28" s="39"/>
      <c r="J28" s="39"/>
      <c r="K28" s="39"/>
      <c r="L28" s="39"/>
      <c r="M28" s="39"/>
      <c r="N28" s="39">
        <v>500</v>
      </c>
      <c r="O28" s="39"/>
      <c r="P28" s="39"/>
      <c r="Q28" s="24"/>
      <c r="R28" s="10">
        <f>SUM(KontanterUtbetalt6[[#This Row],[Periode 0]:[Periode 12]])</f>
        <v>1300</v>
      </c>
      <c r="S28" s="1"/>
    </row>
    <row r="29" spans="2:23" ht="17.25" customHeight="1" x14ac:dyDescent="0.25">
      <c r="B29" s="41" t="s">
        <v>22</v>
      </c>
      <c r="C29" s="16"/>
      <c r="D29" s="39"/>
      <c r="E29" s="39">
        <v>9000</v>
      </c>
      <c r="F29" s="39">
        <v>11000</v>
      </c>
      <c r="G29" s="39"/>
      <c r="H29" s="39"/>
      <c r="I29" s="39"/>
      <c r="J29" s="39"/>
      <c r="K29" s="39"/>
      <c r="L29" s="39"/>
      <c r="M29" s="39"/>
      <c r="N29" s="39"/>
      <c r="O29" s="39">
        <v>10000</v>
      </c>
      <c r="P29" s="39"/>
      <c r="Q29" s="24"/>
      <c r="R29" s="10">
        <f>SUM(KontanterUtbetalt6[[#This Row],[Periode 0]:[Periode 12]])</f>
        <v>30000</v>
      </c>
      <c r="S29" s="1"/>
    </row>
    <row r="30" spans="2:23" ht="17.25" customHeight="1" x14ac:dyDescent="0.25">
      <c r="B30" s="41" t="s">
        <v>27</v>
      </c>
      <c r="C30" s="16"/>
      <c r="D30" s="39"/>
      <c r="E30" s="39">
        <v>1500</v>
      </c>
      <c r="F30" s="39"/>
      <c r="G30" s="39">
        <v>1500</v>
      </c>
      <c r="H30" s="39"/>
      <c r="I30" s="39">
        <v>1500</v>
      </c>
      <c r="J30" s="39"/>
      <c r="K30" s="39">
        <v>1500</v>
      </c>
      <c r="L30" s="39"/>
      <c r="M30" s="39">
        <v>1500</v>
      </c>
      <c r="N30" s="39"/>
      <c r="O30" s="39">
        <v>1500</v>
      </c>
      <c r="P30" s="39"/>
      <c r="Q30" s="24"/>
      <c r="R30" s="10">
        <f>SUM(KontanterUtbetalt6[[#This Row],[Periode 0]:[Periode 12]])</f>
        <v>9000</v>
      </c>
      <c r="S30" s="1"/>
      <c r="U30" s="8"/>
    </row>
    <row r="31" spans="2:23" ht="17.25" customHeight="1" x14ac:dyDescent="0.25">
      <c r="B31" s="62" t="s">
        <v>29</v>
      </c>
      <c r="C31" s="63"/>
      <c r="D31" s="64"/>
      <c r="E31" s="64">
        <v>-500</v>
      </c>
      <c r="F31" s="64">
        <v>-500</v>
      </c>
      <c r="G31" s="64">
        <v>-500</v>
      </c>
      <c r="H31" s="64">
        <v>-500</v>
      </c>
      <c r="I31" s="64">
        <v>-500</v>
      </c>
      <c r="J31" s="64">
        <v>-500</v>
      </c>
      <c r="K31" s="64">
        <v>-500</v>
      </c>
      <c r="L31" s="64">
        <v>-500</v>
      </c>
      <c r="M31" s="64">
        <v>-500</v>
      </c>
      <c r="N31" s="64">
        <v>-500</v>
      </c>
      <c r="O31" s="64">
        <v>-500</v>
      </c>
      <c r="P31" s="64">
        <v>-500</v>
      </c>
      <c r="Q31" s="65"/>
      <c r="R31" s="87">
        <f>SUM(KontanterUtbetalt6[[#This Row],[Periode 0]:[Periode 12]])</f>
        <v>-6000</v>
      </c>
      <c r="S31" s="105" t="s">
        <v>46</v>
      </c>
      <c r="U31" s="8"/>
    </row>
    <row r="32" spans="2:23" ht="17.25" customHeight="1" x14ac:dyDescent="0.25">
      <c r="B32" s="41" t="s">
        <v>18</v>
      </c>
      <c r="C32" s="16"/>
      <c r="D32" s="39"/>
      <c r="E32" s="39"/>
      <c r="F32" s="39"/>
      <c r="G32" s="39">
        <v>1000</v>
      </c>
      <c r="H32" s="39" t="s">
        <v>38</v>
      </c>
      <c r="I32" s="39"/>
      <c r="J32" s="39"/>
      <c r="K32" s="39"/>
      <c r="L32" s="39"/>
      <c r="M32" s="39"/>
      <c r="N32" s="39"/>
      <c r="O32" s="39"/>
      <c r="P32" s="39"/>
      <c r="Q32" s="24"/>
      <c r="R32" s="10">
        <f>SUM(KontanterUtbetalt6[[#This Row],[Periode 0]:[Periode 12]])</f>
        <v>1000</v>
      </c>
      <c r="S32" s="1"/>
      <c r="V32" s="8"/>
    </row>
    <row r="33" spans="2:20" ht="17.25" customHeight="1" x14ac:dyDescent="0.25">
      <c r="B33" s="41" t="s">
        <v>10</v>
      </c>
      <c r="C33" s="16"/>
      <c r="D33" s="39"/>
      <c r="E33" s="39">
        <v>6000</v>
      </c>
      <c r="F33" s="39">
        <v>6000</v>
      </c>
      <c r="G33" s="39">
        <v>6000</v>
      </c>
      <c r="H33" s="39">
        <v>6000</v>
      </c>
      <c r="I33" s="39">
        <v>6000</v>
      </c>
      <c r="J33" s="39">
        <v>6000</v>
      </c>
      <c r="K33" s="39">
        <v>6000</v>
      </c>
      <c r="L33" s="39">
        <v>6000</v>
      </c>
      <c r="M33" s="39">
        <v>6000</v>
      </c>
      <c r="N33" s="39">
        <v>6000</v>
      </c>
      <c r="O33" s="39">
        <v>6000</v>
      </c>
      <c r="P33" s="39">
        <v>6000</v>
      </c>
      <c r="Q33" s="24"/>
      <c r="R33" s="10">
        <f>SUM(KontanterUtbetalt6[[#This Row],[Periode 0]:[Periode 12]])</f>
        <v>72000</v>
      </c>
      <c r="S33" s="1"/>
    </row>
    <row r="34" spans="2:20" ht="17.25" customHeight="1" x14ac:dyDescent="0.25">
      <c r="B34" s="41" t="s">
        <v>11</v>
      </c>
      <c r="C34" s="16"/>
      <c r="D34" s="39"/>
      <c r="E34" s="39">
        <v>3000</v>
      </c>
      <c r="F34" s="39">
        <v>3000</v>
      </c>
      <c r="G34" s="39">
        <v>3000</v>
      </c>
      <c r="H34" s="39">
        <v>3000</v>
      </c>
      <c r="I34" s="39">
        <v>3000</v>
      </c>
      <c r="J34" s="68">
        <f>3000-5000</f>
        <v>-2000</v>
      </c>
      <c r="K34" s="39">
        <v>3000</v>
      </c>
      <c r="L34" s="39">
        <v>3000</v>
      </c>
      <c r="M34" s="39">
        <v>3000</v>
      </c>
      <c r="N34" s="39">
        <v>3000</v>
      </c>
      <c r="O34" s="39">
        <v>3000</v>
      </c>
      <c r="P34" s="39">
        <v>3000</v>
      </c>
      <c r="Q34" s="24"/>
      <c r="R34" s="10">
        <f>SUM(KontanterUtbetalt6[[#This Row],[Periode 0]:[Periode 12]])</f>
        <v>31000</v>
      </c>
      <c r="S34" s="1"/>
    </row>
    <row r="35" spans="2:20" ht="17.25" customHeight="1" x14ac:dyDescent="0.25">
      <c r="B35" s="41" t="s">
        <v>12</v>
      </c>
      <c r="C35" s="16"/>
      <c r="D35" s="39"/>
      <c r="E35" s="39">
        <v>10</v>
      </c>
      <c r="F35" s="39">
        <v>10</v>
      </c>
      <c r="G35" s="39">
        <v>130</v>
      </c>
      <c r="H35" s="39">
        <v>10</v>
      </c>
      <c r="I35" s="39">
        <v>10</v>
      </c>
      <c r="J35" s="39">
        <v>120</v>
      </c>
      <c r="K35" s="39">
        <v>10</v>
      </c>
      <c r="L35" s="39">
        <v>10</v>
      </c>
      <c r="M35" s="39">
        <v>140</v>
      </c>
      <c r="N35" s="39">
        <v>10</v>
      </c>
      <c r="O35" s="39">
        <v>10</v>
      </c>
      <c r="P35" s="39">
        <v>130</v>
      </c>
      <c r="Q35" s="24"/>
      <c r="R35" s="10">
        <f>SUM(KontanterUtbetalt6[[#This Row],[Periode 0]:[Periode 12]])</f>
        <v>600</v>
      </c>
      <c r="S35" s="1"/>
    </row>
    <row r="36" spans="2:20" ht="17.25" customHeight="1" x14ac:dyDescent="0.25">
      <c r="B36" s="41" t="s">
        <v>0</v>
      </c>
      <c r="C36" s="16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24"/>
      <c r="R36" s="10">
        <f>SUM(KontanterUtbetalt6[[#This Row],[Periode 0]:[Periode 12]])</f>
        <v>0</v>
      </c>
      <c r="S36" s="1"/>
    </row>
    <row r="37" spans="2:20" ht="17.25" customHeight="1" x14ac:dyDescent="0.25">
      <c r="B37" s="74" t="s">
        <v>33</v>
      </c>
      <c r="C37" s="16"/>
      <c r="D37" s="50">
        <f>SUBTOTAL(109,KontanterUtbetalt6[Periode 0])</f>
        <v>0</v>
      </c>
      <c r="E37" s="50">
        <f>SUBTOTAL(109,KontanterUtbetalt6[Periode 1])</f>
        <v>19010</v>
      </c>
      <c r="F37" s="50">
        <f>SUBTOTAL(109,KontanterUtbetalt6[Periode 2])</f>
        <v>19510</v>
      </c>
      <c r="G37" s="50">
        <f>SUBTOTAL(109,KontanterUtbetalt6[Periode 3])</f>
        <v>11130</v>
      </c>
      <c r="H37" s="50">
        <f>SUBTOTAL(109,KontanterUtbetalt6[Periode 4])</f>
        <v>11310</v>
      </c>
      <c r="I37" s="50">
        <f>SUBTOTAL(109,KontanterUtbetalt6[Periode 5])</f>
        <v>10010</v>
      </c>
      <c r="J37" s="50">
        <f>SUBTOTAL(109,KontanterUtbetalt6[Periode 6])</f>
        <v>3620</v>
      </c>
      <c r="K37" s="50">
        <f>SUBTOTAL(109,KontanterUtbetalt6[Periode 7])</f>
        <v>10010</v>
      </c>
      <c r="L37" s="50">
        <f>SUBTOTAL(109,KontanterUtbetalt6[Periode 8])</f>
        <v>8510</v>
      </c>
      <c r="M37" s="50">
        <f>SUBTOTAL(109,KontanterUtbetalt6[Periode 9])</f>
        <v>45140</v>
      </c>
      <c r="N37" s="50">
        <f>SUBTOTAL(109,KontanterUtbetalt6[Periode 10])</f>
        <v>9010</v>
      </c>
      <c r="O37" s="50">
        <f>SUBTOTAL(109,KontanterUtbetalt6[Periode 11])</f>
        <v>20010</v>
      </c>
      <c r="P37" s="50">
        <f>SUBTOTAL(109,KontanterUtbetalt6[Periode 12])</f>
        <v>8630</v>
      </c>
      <c r="Q37" s="49"/>
      <c r="R37" s="50">
        <f>SUBTOTAL(109,KontanterUtbetalt6[Totalt])</f>
        <v>175900</v>
      </c>
      <c r="S37" s="11"/>
      <c r="T37" s="52"/>
    </row>
    <row r="38" spans="2:20" ht="17.25" customHeight="1" thickBot="1" x14ac:dyDescent="0.35">
      <c r="B38" s="36" t="s">
        <v>61</v>
      </c>
      <c r="C38" s="15"/>
      <c r="D38" s="29">
        <v>19690</v>
      </c>
      <c r="E38" s="29">
        <f t="shared" ref="E38:P38" si="2">E22-E37</f>
        <v>13180</v>
      </c>
      <c r="F38" s="29">
        <f t="shared" si="2"/>
        <v>6270</v>
      </c>
      <c r="G38" s="29">
        <f t="shared" si="2"/>
        <v>17640</v>
      </c>
      <c r="H38" s="29">
        <f t="shared" si="2"/>
        <v>17530</v>
      </c>
      <c r="I38" s="29">
        <f t="shared" si="2"/>
        <v>20020</v>
      </c>
      <c r="J38" s="29">
        <f t="shared" si="2"/>
        <v>28900</v>
      </c>
      <c r="K38" s="29">
        <f t="shared" si="2"/>
        <v>32990</v>
      </c>
      <c r="L38" s="29">
        <f t="shared" si="2"/>
        <v>38580</v>
      </c>
      <c r="M38" s="29">
        <f t="shared" si="2"/>
        <v>7540</v>
      </c>
      <c r="N38" s="29">
        <f t="shared" si="2"/>
        <v>20130</v>
      </c>
      <c r="O38" s="29">
        <f t="shared" si="2"/>
        <v>14220</v>
      </c>
      <c r="P38" s="104">
        <f t="shared" si="2"/>
        <v>19690</v>
      </c>
      <c r="Q38" s="29">
        <f>Q22-KontanterUtbetalt6[[#Totals],[Periode 1]]</f>
        <v>-19010</v>
      </c>
      <c r="R38" s="89">
        <f>R22-R37</f>
        <v>0</v>
      </c>
      <c r="S38" s="28"/>
    </row>
    <row r="39" spans="2:20" ht="17.25" customHeight="1" thickBot="1" x14ac:dyDescent="0.35">
      <c r="B39" s="106"/>
      <c r="C39" s="15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04"/>
      <c r="Q39" s="29"/>
      <c r="R39" s="89"/>
      <c r="S39" s="107"/>
    </row>
    <row r="41" spans="2:20" ht="16.5" x14ac:dyDescent="0.3">
      <c r="B41" s="75" t="s">
        <v>53</v>
      </c>
    </row>
    <row r="42" spans="2:20" ht="16.5" thickBot="1" x14ac:dyDescent="0.3">
      <c r="B42" s="33" t="s">
        <v>37</v>
      </c>
      <c r="D42" s="34"/>
      <c r="E42" s="34">
        <f>D45</f>
        <v>16</v>
      </c>
      <c r="F42" s="34">
        <f>E42+Kontantinnbetalinger109[[#Totals],[Periode 1]]</f>
        <v>7516</v>
      </c>
      <c r="G42" s="34">
        <f>F42+Kontantinnbetalinger109[[#Totals],[Periode 2]]</f>
        <v>15016</v>
      </c>
      <c r="H42" s="34">
        <f>G42+Kontantinnbetalinger109[[#Totals],[Periode 3]]</f>
        <v>15016</v>
      </c>
      <c r="I42" s="34">
        <f>H42+Kontantinnbetalinger109[[#Totals],[Periode 4]]</f>
        <v>22516</v>
      </c>
      <c r="J42" s="34">
        <f>I42+Kontantinnbetalinger109[[#Totals],[Periode 5]]</f>
        <v>30016</v>
      </c>
      <c r="K42" s="34">
        <f>J42+Kontantinnbetalinger109[[#Totals],[Periode 6]]</f>
        <v>37516</v>
      </c>
      <c r="L42" s="34">
        <f>K42+Kontantinnbetalinger109[[#Totals],[Periode 7]]</f>
        <v>45016</v>
      </c>
      <c r="M42" s="34">
        <f>L42+Kontantinnbetalinger109[[#Totals],[Periode 8]]</f>
        <v>52516</v>
      </c>
      <c r="N42" s="34">
        <f>M42+Kontantinnbetalinger109[[#Totals],[Periode 9]]</f>
        <v>60016</v>
      </c>
      <c r="O42" s="34">
        <f>N42+Kontantinnbetalinger109[[#Totals],[Periode 10]]</f>
        <v>60016</v>
      </c>
      <c r="P42" s="34">
        <f>O42+Kontantinnbetalinger109[[#Totals],[Periode 11]]</f>
        <v>67516</v>
      </c>
      <c r="Q42" s="21"/>
      <c r="R42" s="67"/>
      <c r="S42" s="31"/>
    </row>
    <row r="43" spans="2:20" x14ac:dyDescent="0.25">
      <c r="B43" s="41" t="s">
        <v>51</v>
      </c>
      <c r="C43" s="16"/>
      <c r="D43" s="39"/>
      <c r="E43" s="39">
        <v>7500</v>
      </c>
      <c r="F43" s="39">
        <v>7500</v>
      </c>
      <c r="G43" s="39"/>
      <c r="H43" s="39">
        <v>7500</v>
      </c>
      <c r="I43" s="39">
        <v>7500</v>
      </c>
      <c r="J43" s="39">
        <v>7500</v>
      </c>
      <c r="K43" s="39">
        <v>7500</v>
      </c>
      <c r="L43" s="39">
        <v>7500</v>
      </c>
      <c r="M43" s="39">
        <v>7500</v>
      </c>
      <c r="N43" s="39"/>
      <c r="O43" s="39">
        <v>7500</v>
      </c>
      <c r="P43" s="39">
        <v>7575</v>
      </c>
      <c r="Q43" s="22"/>
      <c r="R43" s="8"/>
      <c r="S43" s="99" t="s">
        <v>57</v>
      </c>
      <c r="T43" s="71"/>
    </row>
    <row r="44" spans="2:20" ht="14.25" thickBot="1" x14ac:dyDescent="0.3">
      <c r="B44" s="74" t="s">
        <v>54</v>
      </c>
      <c r="C44" s="42"/>
      <c r="D44" s="45"/>
      <c r="E44" s="45">
        <f>Kontantinnbetalinger109[Periode 1]</f>
        <v>7500</v>
      </c>
      <c r="F44" s="45">
        <f>Kontantinnbetalinger109[Periode 2]</f>
        <v>7500</v>
      </c>
      <c r="G44" s="45">
        <f>Kontantinnbetalinger109[Periode 3]</f>
        <v>0</v>
      </c>
      <c r="H44" s="45">
        <f>Kontantinnbetalinger109[Periode 4]</f>
        <v>7500</v>
      </c>
      <c r="I44" s="45">
        <f>Kontantinnbetalinger109[Periode 5]</f>
        <v>7500</v>
      </c>
      <c r="J44" s="45">
        <f>Kontantinnbetalinger109[Periode 6]</f>
        <v>7500</v>
      </c>
      <c r="K44" s="45">
        <f>Kontantinnbetalinger109[Periode 7]</f>
        <v>7500</v>
      </c>
      <c r="L44" s="45">
        <f>Kontantinnbetalinger109[Periode 8]</f>
        <v>7500</v>
      </c>
      <c r="M44" s="45">
        <f>Kontantinnbetalinger109[Periode 9]</f>
        <v>7500</v>
      </c>
      <c r="N44" s="45">
        <f>Kontantinnbetalinger109[Periode 10]</f>
        <v>0</v>
      </c>
      <c r="O44" s="45">
        <f>Kontantinnbetalinger109[Periode 11]</f>
        <v>7500</v>
      </c>
      <c r="P44" s="45">
        <f>Kontantinnbetalinger109[Periode 12]</f>
        <v>7575</v>
      </c>
      <c r="Q44" s="43"/>
      <c r="R44" s="100"/>
      <c r="T44" s="44"/>
    </row>
    <row r="45" spans="2:20" ht="17.25" thickTop="1" thickBot="1" x14ac:dyDescent="0.3">
      <c r="B45" s="36" t="s">
        <v>60</v>
      </c>
      <c r="C45" s="15"/>
      <c r="D45" s="29">
        <v>16</v>
      </c>
      <c r="E45" s="29">
        <f>E42+Kontantinnbetalinger109[[#Totals],[Periode 1]]</f>
        <v>7516</v>
      </c>
      <c r="F45" s="29">
        <f>F42+Kontantinnbetalinger109[[#Totals],[Periode 1]]</f>
        <v>15016</v>
      </c>
      <c r="G45" s="29">
        <f>G42+Kontantinnbetalinger109[[#Totals],[Periode 1]]</f>
        <v>22516</v>
      </c>
      <c r="H45" s="29">
        <f>H42+Kontantinnbetalinger109[[#Totals],[Periode 1]]</f>
        <v>22516</v>
      </c>
      <c r="I45" s="29">
        <f>I42+Kontantinnbetalinger109[[#Totals],[Periode 1]]</f>
        <v>30016</v>
      </c>
      <c r="J45" s="29">
        <f>J42+Kontantinnbetalinger109[[#Totals],[Periode 1]]</f>
        <v>37516</v>
      </c>
      <c r="K45" s="29">
        <f>K42+Kontantinnbetalinger109[[#Totals],[Periode 1]]</f>
        <v>45016</v>
      </c>
      <c r="L45" s="29">
        <f>L42+Kontantinnbetalinger109[[#Totals],[Periode 1]]</f>
        <v>52516</v>
      </c>
      <c r="M45" s="29">
        <f>M42+Kontantinnbetalinger109[[#Totals],[Periode 1]]</f>
        <v>60016</v>
      </c>
      <c r="N45" s="29">
        <f>N42+Kontantinnbetalinger109[[#Totals],[Periode 1]]</f>
        <v>67516</v>
      </c>
      <c r="O45" s="29">
        <f>O42+Kontantinnbetalinger109[[#Totals],[Periode 1]]</f>
        <v>67516</v>
      </c>
      <c r="P45" s="104">
        <f>P42+Kontantinnbetalinger109[[#Totals],[Periode 12]]</f>
        <v>75091</v>
      </c>
      <c r="Q45" s="23"/>
      <c r="R45" s="29"/>
      <c r="S45" s="30"/>
    </row>
  </sheetData>
  <mergeCells count="4">
    <mergeCell ref="E1:R1"/>
    <mergeCell ref="S8:S9"/>
    <mergeCell ref="B23:S23"/>
    <mergeCell ref="D8:D9"/>
  </mergeCells>
  <conditionalFormatting sqref="E6:P6">
    <cfRule type="expression" dxfId="7" priority="12">
      <formula>E6&lt;0</formula>
    </cfRule>
  </conditionalFormatting>
  <conditionalFormatting sqref="E22:P22">
    <cfRule type="expression" dxfId="6" priority="10">
      <formula>E22&lt;0</formula>
    </cfRule>
  </conditionalFormatting>
  <conditionalFormatting sqref="D38:O39">
    <cfRule type="expression" dxfId="5" priority="5">
      <formula>D38&lt;0</formula>
    </cfRule>
  </conditionalFormatting>
  <conditionalFormatting sqref="P38:R39">
    <cfRule type="expression" dxfId="4" priority="7">
      <formula>P38&lt;0</formula>
    </cfRule>
  </conditionalFormatting>
  <conditionalFormatting sqref="E45:P45">
    <cfRule type="expression" dxfId="3" priority="1">
      <formula>E45&lt;0</formula>
    </cfRule>
  </conditionalFormatting>
  <conditionalFormatting sqref="E42:P42">
    <cfRule type="expression" dxfId="1" priority="2">
      <formula>E42&lt;0</formula>
    </cfRule>
  </conditionalFormatting>
  <pageMargins left="0.25" right="0.25" top="0.75" bottom="0.75" header="0.3" footer="0.3"/>
  <pageSetup paperSize="9" scale="59" orientation="landscape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FCF37CDC-EE64-4A2D-BF98-A944C233E973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E6:R6</xm:sqref>
        </x14:conditionalFormatting>
        <x14:conditionalFormatting xmlns:xm="http://schemas.microsoft.com/office/excel/2006/main">
          <x14:cfRule type="iconSet" priority="14" id="{0FB4862B-A94A-4993-A7FD-483DAA7CF92E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D22:R22</xm:sqref>
        </x14:conditionalFormatting>
        <x14:conditionalFormatting xmlns:xm="http://schemas.microsoft.com/office/excel/2006/main">
          <x14:cfRule type="iconSet" priority="8" id="{45EE5274-E287-4DB6-9BB0-95AA86944808}">
            <x14:iconSet iconSet="3Flags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P38:R39</xm:sqref>
        </x14:conditionalFormatting>
        <x14:conditionalFormatting xmlns:xm="http://schemas.microsoft.com/office/excel/2006/main">
          <x14:cfRule type="iconSet" priority="6" id="{265662DC-01D2-454C-80F5-DADA1CFD99CB}">
            <x14:iconSet iconSet="3Flags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D38:O39</xm:sqref>
        </x14:conditionalFormatting>
        <x14:conditionalFormatting xmlns:xm="http://schemas.microsoft.com/office/excel/2006/main">
          <x14:cfRule type="iconSet" priority="3" id="{564D456C-45FD-46E2-87ED-1F81F1C6443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E42:Q42</xm:sqref>
        </x14:conditionalFormatting>
        <x14:conditionalFormatting xmlns:xm="http://schemas.microsoft.com/office/excel/2006/main">
          <x14:cfRule type="iconSet" priority="4" id="{79EFAA0F-74AF-42E4-A196-78A6FA343CED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D45:R45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D0D548E0-A921-435F-8D8D-E6E37BF6CDA2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'Budsjett 2019'!D37:P37</xm:f>
              <xm:sqref>S37</xm:sqref>
            </x14:sparkline>
          </x14:sparklines>
        </x14:sparklineGroup>
        <x14:sparklineGroup displayEmptyCellsAs="gap" markers="1" xr2:uid="{0AF9F9F8-2B56-4DA0-9D47-65694C8A2045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'Budsjett 2019'!D21:P21</xm:f>
              <xm:sqref>S21</xm:sqref>
            </x14:sparkline>
          </x14:sparklines>
        </x14:sparklineGroup>
        <x14:sparklineGroup displayEmptyCellsAs="gap" markers="1" xr2:uid="{6AEBD35D-23AB-4489-95ED-A3090CF72354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'Budsjett 2019'!D38:P38</xm:f>
              <xm:sqref>S38</xm:sqref>
            </x14:sparkline>
            <x14:sparkline>
              <xm:f>'Budsjett 2019'!D39:P39</xm:f>
              <xm:sqref>S39</xm:sqref>
            </x14:sparkline>
            <x14:sparkline>
              <xm:f>'Budsjett 2019'!D22:P22</xm:f>
              <xm:sqref>S22</xm:sqref>
            </x14:sparkline>
            <x14:sparkline>
              <xm:f>'Budsjett 2019'!D6:P6</xm:f>
              <xm:sqref>S6</xm:sqref>
            </x14:sparkline>
          </x14:sparklines>
        </x14:sparklineGroup>
        <x14:sparklineGroup displayEmptyCellsAs="gap" markers="1" xr2:uid="{73BC90BC-30EF-4FA6-9F51-1ED8B8259C5B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'Budsjett 2019'!D45:P45</xm:f>
              <xm:sqref>S45</xm:sqref>
            </x14:sparkline>
            <x14:sparkline>
              <xm:f>'Budsjett 2019'!D42:P42</xm:f>
              <xm:sqref>S42</xm:sqref>
            </x14:sparkline>
          </x14:sparklines>
        </x14:sparklineGroup>
        <x14:sparklineGroup displayEmptyCellsAs="gap" markers="1" xr2:uid="{F75E61A3-4AC6-477B-B14C-3AD1AD73F396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'Budsjett 2019'!D44:P44</xm:f>
              <xm:sqref>S44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84A6592-B3DF-4E49-A978-FDD19C943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Regnskap 2018</vt:lpstr>
      <vt:lpstr>Budsjett 2019</vt:lpstr>
      <vt:lpstr>RegnskapsårStartDato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2019-03-24T15:39:21Z</dcterms:created>
  <dcterms:modified xsi:type="dcterms:W3CDTF">2019-03-27T19:54:42Z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TC031076379991</vt:lpwstr>
  </property>
  <property fmtid="{D5CDD505-2E9C-101B-9397-08002B2CF9AE}" pid="3" name="MSIP_Label_273f940e-8c65-4370-bb85-8bce4a37e410_Enabled">
    <vt:lpwstr>True</vt:lpwstr>
  </property>
  <property fmtid="{D5CDD505-2E9C-101B-9397-08002B2CF9AE}" pid="4" name="MSIP_Label_273f940e-8c65-4370-bb85-8bce4a37e410_SiteId">
    <vt:lpwstr>38856954-ed55-49f7-8bdd-738ffbbfd390</vt:lpwstr>
  </property>
  <property fmtid="{D5CDD505-2E9C-101B-9397-08002B2CF9AE}" pid="5" name="MSIP_Label_273f940e-8c65-4370-bb85-8bce4a37e410_Owner">
    <vt:lpwstr>tonmyk@vegvesen.no</vt:lpwstr>
  </property>
  <property fmtid="{D5CDD505-2E9C-101B-9397-08002B2CF9AE}" pid="6" name="MSIP_Label_273f940e-8c65-4370-bb85-8bce4a37e410_SetDate">
    <vt:lpwstr>2019-03-24T15:38:16.3381887Z</vt:lpwstr>
  </property>
  <property fmtid="{D5CDD505-2E9C-101B-9397-08002B2CF9AE}" pid="7" name="MSIP_Label_273f940e-8c65-4370-bb85-8bce4a37e410_Name">
    <vt:lpwstr>Personal</vt:lpwstr>
  </property>
  <property fmtid="{D5CDD505-2E9C-101B-9397-08002B2CF9AE}" pid="8" name="MSIP_Label_273f940e-8c65-4370-bb85-8bce4a37e410_Application">
    <vt:lpwstr>Microsoft Azure Information Protection</vt:lpwstr>
  </property>
  <property fmtid="{D5CDD505-2E9C-101B-9397-08002B2CF9AE}" pid="9" name="MSIP_Label_273f940e-8c65-4370-bb85-8bce4a37e410_Extended_MSFT_Method">
    <vt:lpwstr>Manual</vt:lpwstr>
  </property>
  <property fmtid="{D5CDD505-2E9C-101B-9397-08002B2CF9AE}" pid="10" name="Sensitivity">
    <vt:lpwstr>Personal</vt:lpwstr>
  </property>
</Properties>
</file>